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X:\BEIT_SA\STS1\GARE\2021\STS21-0008 - PF Comune Monselice\04 - Costi\Professionista\"/>
    </mc:Choice>
  </mc:AlternateContent>
  <bookViews>
    <workbookView xWindow="-120" yWindow="-120" windowWidth="29040" windowHeight="15840" tabRatio="891" activeTab="2"/>
  </bookViews>
  <sheets>
    <sheet name="Conto Termico" sheetId="45" r:id="rId1"/>
    <sheet name="Consumi" sheetId="27" r:id="rId2"/>
    <sheet name="Riassunto" sheetId="1" r:id="rId3"/>
    <sheet name="Pre fattibilità" sheetId="71" r:id="rId4"/>
    <sheet name="1" sheetId="28" r:id="rId5"/>
    <sheet name="2" sheetId="30" r:id="rId6"/>
    <sheet name="3" sheetId="31" r:id="rId7"/>
    <sheet name="4" sheetId="32" r:id="rId8"/>
    <sheet name="5" sheetId="33" r:id="rId9"/>
    <sheet name="6" sheetId="34" r:id="rId10"/>
    <sheet name="7" sheetId="35" r:id="rId11"/>
    <sheet name="8" sheetId="37" r:id="rId12"/>
    <sheet name="9" sheetId="38" r:id="rId13"/>
    <sheet name="10" sheetId="39" r:id="rId14"/>
    <sheet name="11" sheetId="40" r:id="rId15"/>
    <sheet name="12" sheetId="41" r:id="rId16"/>
    <sheet name="13" sheetId="42" r:id="rId17"/>
    <sheet name="14" sheetId="43" r:id="rId18"/>
    <sheet name="15" sheetId="44" r:id="rId19"/>
    <sheet name="16" sheetId="51" r:id="rId20"/>
    <sheet name="17" sheetId="52" r:id="rId21"/>
    <sheet name="18" sheetId="53" r:id="rId22"/>
    <sheet name="19" sheetId="54" r:id="rId23"/>
    <sheet name="20" sheetId="55" r:id="rId24"/>
    <sheet name="21" sheetId="56" r:id="rId25"/>
    <sheet name="22" sheetId="57" r:id="rId26"/>
    <sheet name="23" sheetId="58" r:id="rId27"/>
    <sheet name="24" sheetId="59" r:id="rId28"/>
    <sheet name="25" sheetId="60" r:id="rId29"/>
    <sheet name="26" sheetId="61" r:id="rId30"/>
    <sheet name="27" sheetId="62" r:id="rId31"/>
    <sheet name="28" sheetId="63" r:id="rId32"/>
    <sheet name="29" sheetId="64" r:id="rId33"/>
    <sheet name="30" sheetId="65" r:id="rId34"/>
    <sheet name="Riello" sheetId="66" r:id="rId35"/>
    <sheet name="Grundfos" sheetId="67" r:id="rId36"/>
    <sheet name="Coster" sheetId="68" r:id="rId37"/>
    <sheet name="Contatori di energia" sheetId="69" r:id="rId38"/>
  </sheets>
  <definedNames>
    <definedName name="_xlnm._FilterDatabase" localSheetId="1" hidden="1">Consumi!#REF!</definedName>
    <definedName name="_xlnm._FilterDatabase" localSheetId="2" hidden="1">Riassunto!$C$3:$AK$34</definedName>
    <definedName name="_xlnm.Print_Area" localSheetId="2">Riassunto!$A$1:$AV$36</definedName>
    <definedName name="CH4.OIL">Riassunto!$F$1:$F$2</definedName>
    <definedName name="RepValidi">Riassunto!$M$1:$M$2</definedName>
    <definedName name="SI">Riassunto!$M$1:$M$2</definedName>
    <definedName name="SI.NO">Riassunto!$M$1:$M$2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5" l="1"/>
  <c r="G8" i="45" s="1"/>
  <c r="E3" i="71"/>
  <c r="J3" i="71"/>
  <c r="G39" i="1" l="1"/>
  <c r="G38" i="1"/>
  <c r="G37" i="1"/>
  <c r="E38" i="1"/>
  <c r="E37" i="1"/>
  <c r="AY35" i="1" l="1"/>
  <c r="H19" i="45"/>
  <c r="I4" i="71"/>
  <c r="I5" i="71"/>
  <c r="I6" i="71"/>
  <c r="I7" i="71"/>
  <c r="I8" i="71"/>
  <c r="I9" i="71"/>
  <c r="I10" i="71"/>
  <c r="I11" i="71"/>
  <c r="I12" i="71"/>
  <c r="I13" i="71"/>
  <c r="I14" i="71"/>
  <c r="I15" i="71"/>
  <c r="I16" i="71"/>
  <c r="I17" i="71"/>
  <c r="I18" i="71"/>
  <c r="I19" i="71"/>
  <c r="I20" i="71"/>
  <c r="I21" i="71"/>
  <c r="I22" i="71"/>
  <c r="I23" i="71"/>
  <c r="I24" i="71"/>
  <c r="I25" i="71"/>
  <c r="I26" i="71"/>
  <c r="I27" i="71"/>
  <c r="I28" i="71"/>
  <c r="I29" i="71"/>
  <c r="I3" i="71"/>
  <c r="AD28" i="27"/>
  <c r="AD27" i="27"/>
  <c r="AD26" i="27"/>
  <c r="AD25" i="27"/>
  <c r="AD24" i="27"/>
  <c r="AD23" i="27"/>
  <c r="AD22" i="27"/>
  <c r="AD21" i="27"/>
  <c r="AD20" i="27"/>
  <c r="AD19" i="27"/>
  <c r="AD18" i="27"/>
  <c r="AD17" i="27"/>
  <c r="AD16" i="27"/>
  <c r="AD15" i="27"/>
  <c r="AD14" i="27"/>
  <c r="AD13" i="27"/>
  <c r="AD12" i="27"/>
  <c r="AD11" i="27"/>
  <c r="AD8" i="27"/>
  <c r="AD7" i="27"/>
  <c r="AD6" i="27"/>
  <c r="AD5" i="27"/>
  <c r="AD4" i="27"/>
  <c r="AD3" i="27"/>
  <c r="AE11" i="27" l="1"/>
  <c r="AE29" i="27"/>
  <c r="AE28" i="27"/>
  <c r="AE27" i="27"/>
  <c r="AE26" i="27"/>
  <c r="AE25" i="27"/>
  <c r="AE24" i="27"/>
  <c r="AE23" i="27"/>
  <c r="AE22" i="27"/>
  <c r="AE21" i="27"/>
  <c r="AE20" i="27"/>
  <c r="AE19" i="27"/>
  <c r="AE18" i="27"/>
  <c r="AE17" i="27"/>
  <c r="AE16" i="27"/>
  <c r="AE15" i="27"/>
  <c r="AE14" i="27"/>
  <c r="AE13" i="27"/>
  <c r="AE12" i="27"/>
  <c r="AE10" i="27"/>
  <c r="AE9" i="27"/>
  <c r="AE8" i="27"/>
  <c r="AE7" i="27"/>
  <c r="AE6" i="27"/>
  <c r="AE5" i="27"/>
  <c r="AE4" i="27"/>
  <c r="AE3" i="27"/>
  <c r="AD29" i="27"/>
  <c r="B4" i="71"/>
  <c r="B5" i="71"/>
  <c r="B6" i="71"/>
  <c r="B7" i="71"/>
  <c r="B8" i="71"/>
  <c r="B9" i="71"/>
  <c r="B10" i="71"/>
  <c r="B14" i="71"/>
  <c r="B23" i="71"/>
  <c r="B25" i="71"/>
  <c r="B11" i="71"/>
  <c r="B12" i="71"/>
  <c r="B13" i="71"/>
  <c r="B15" i="71"/>
  <c r="B16" i="71"/>
  <c r="B17" i="71"/>
  <c r="B18" i="71"/>
  <c r="B19" i="71"/>
  <c r="B20" i="71"/>
  <c r="B21" i="71"/>
  <c r="B22" i="71"/>
  <c r="B24" i="71"/>
  <c r="B26" i="71"/>
  <c r="B27" i="71"/>
  <c r="B28" i="71"/>
  <c r="B29" i="71"/>
  <c r="B3" i="71"/>
  <c r="M23" i="52"/>
  <c r="M23" i="60"/>
  <c r="M23" i="57"/>
  <c r="M23" i="39"/>
  <c r="M23" i="43"/>
  <c r="A4" i="71" l="1"/>
  <c r="A5" i="71"/>
  <c r="A6" i="71"/>
  <c r="A7" i="71"/>
  <c r="A8" i="71"/>
  <c r="A9" i="71"/>
  <c r="A10" i="71"/>
  <c r="A14" i="71"/>
  <c r="A23" i="71"/>
  <c r="A25" i="71"/>
  <c r="A11" i="71"/>
  <c r="A12" i="71"/>
  <c r="A13" i="71"/>
  <c r="A15" i="71"/>
  <c r="A16" i="71"/>
  <c r="A17" i="71"/>
  <c r="A18" i="71"/>
  <c r="A19" i="71"/>
  <c r="A20" i="71"/>
  <c r="A21" i="71"/>
  <c r="A22" i="71"/>
  <c r="A24" i="71"/>
  <c r="A26" i="71"/>
  <c r="A27" i="71"/>
  <c r="A28" i="71"/>
  <c r="A29" i="71"/>
  <c r="A3" i="71"/>
  <c r="F21" i="71"/>
  <c r="F28" i="71"/>
  <c r="F29" i="71"/>
  <c r="C28" i="71"/>
  <c r="C29" i="71"/>
  <c r="C22" i="71"/>
  <c r="C24" i="71"/>
  <c r="C26" i="71"/>
  <c r="C27" i="71"/>
  <c r="C17" i="71"/>
  <c r="C18" i="71"/>
  <c r="C19" i="71"/>
  <c r="C20" i="71"/>
  <c r="C21" i="71"/>
  <c r="C4" i="71"/>
  <c r="C5" i="71"/>
  <c r="C6" i="71"/>
  <c r="C7" i="71"/>
  <c r="C8" i="71"/>
  <c r="C9" i="71"/>
  <c r="C10" i="71"/>
  <c r="C14" i="71"/>
  <c r="C23" i="71"/>
  <c r="C25" i="71"/>
  <c r="C11" i="71"/>
  <c r="C12" i="71"/>
  <c r="C13" i="71"/>
  <c r="C15" i="71"/>
  <c r="C16" i="71"/>
  <c r="C3" i="71"/>
  <c r="E8" i="45" l="1"/>
  <c r="D23" i="28"/>
  <c r="O24" i="66" l="1"/>
  <c r="S24" i="66"/>
  <c r="S21" i="66"/>
  <c r="T21" i="66" s="1"/>
  <c r="D24" i="55" s="1"/>
  <c r="E23" i="45"/>
  <c r="AI15" i="66"/>
  <c r="AI12" i="66"/>
  <c r="AI11" i="66"/>
  <c r="AI10" i="66"/>
  <c r="AI9" i="66"/>
  <c r="AI8" i="66"/>
  <c r="AI7" i="66"/>
  <c r="AI6" i="66"/>
  <c r="AI5" i="66" s="1"/>
  <c r="AJ5" i="66" s="1"/>
  <c r="D24" i="51" s="1"/>
  <c r="E21" i="45"/>
  <c r="H43" i="45"/>
  <c r="L43" i="45" s="1"/>
  <c r="E16" i="45"/>
  <c r="E15" i="45"/>
  <c r="E34" i="55" l="1"/>
  <c r="AI34" i="55"/>
  <c r="D32" i="54"/>
  <c r="D33" i="55"/>
  <c r="E33" i="55" s="1"/>
  <c r="AI33" i="55"/>
  <c r="D28" i="53"/>
  <c r="D32" i="51"/>
  <c r="D31" i="52"/>
  <c r="E31" i="52" s="1"/>
  <c r="D32" i="43"/>
  <c r="D31" i="41"/>
  <c r="D37" i="68"/>
  <c r="I24" i="41" s="1"/>
  <c r="J24" i="41" s="1"/>
  <c r="D32" i="38"/>
  <c r="D29" i="39"/>
  <c r="E33" i="33"/>
  <c r="AI33" i="33"/>
  <c r="J33" i="33"/>
  <c r="D33" i="37"/>
  <c r="E33" i="37" s="1"/>
  <c r="AI33" i="37"/>
  <c r="J33" i="37"/>
  <c r="D28" i="35"/>
  <c r="D32" i="33"/>
  <c r="D30" i="30"/>
  <c r="D31" i="28"/>
  <c r="G38" i="66" l="1"/>
  <c r="H38" i="66" s="1"/>
  <c r="D31" i="54" s="1"/>
  <c r="D38" i="66"/>
  <c r="I22" i="38" s="1"/>
  <c r="D30" i="41" l="1"/>
  <c r="K9" i="45"/>
  <c r="K10" i="45"/>
  <c r="K11" i="45"/>
  <c r="K13" i="45"/>
  <c r="K14" i="45"/>
  <c r="K16" i="45"/>
  <c r="K17" i="45"/>
  <c r="K18" i="45"/>
  <c r="K29" i="45"/>
  <c r="K30" i="45"/>
  <c r="K32" i="45"/>
  <c r="K33" i="45"/>
  <c r="K34" i="45"/>
  <c r="K35" i="45"/>
  <c r="K36" i="45"/>
  <c r="K37" i="45"/>
  <c r="K20" i="45"/>
  <c r="K21" i="45"/>
  <c r="K22" i="45"/>
  <c r="K23" i="45"/>
  <c r="K24" i="45"/>
  <c r="K25" i="45"/>
  <c r="K26" i="45"/>
  <c r="K27" i="45"/>
  <c r="K28" i="45"/>
  <c r="T27" i="1"/>
  <c r="F26" i="71" s="1"/>
  <c r="I31" i="45"/>
  <c r="J35" i="59"/>
  <c r="J33" i="59"/>
  <c r="J32" i="59"/>
  <c r="J31" i="59"/>
  <c r="J30" i="59"/>
  <c r="J29" i="59"/>
  <c r="J28" i="59"/>
  <c r="J27" i="59"/>
  <c r="J26" i="59"/>
  <c r="J25" i="59"/>
  <c r="J24" i="59"/>
  <c r="J23" i="59"/>
  <c r="AG26" i="27"/>
  <c r="E27" i="59"/>
  <c r="E26" i="59"/>
  <c r="E24" i="59"/>
  <c r="O21" i="66"/>
  <c r="P21" i="66" s="1"/>
  <c r="D23" i="59" s="1"/>
  <c r="E23" i="59" s="1"/>
  <c r="I28" i="1"/>
  <c r="T5" i="1"/>
  <c r="F4" i="71" s="1"/>
  <c r="AI27" i="30"/>
  <c r="AI26" i="30"/>
  <c r="AI25" i="30"/>
  <c r="AI24" i="30"/>
  <c r="AI23" i="30"/>
  <c r="AI22" i="30"/>
  <c r="E29" i="30"/>
  <c r="AE6" i="66"/>
  <c r="AE14" i="66"/>
  <c r="AE11" i="66"/>
  <c r="AE10" i="66"/>
  <c r="AE9" i="66"/>
  <c r="AE8" i="66"/>
  <c r="AE7" i="66"/>
  <c r="E30" i="30"/>
  <c r="E28" i="30"/>
  <c r="E27" i="30"/>
  <c r="E26" i="30"/>
  <c r="E25" i="30"/>
  <c r="E24" i="30"/>
  <c r="E22" i="30"/>
  <c r="L7" i="1"/>
  <c r="L6" i="1"/>
  <c r="K7" i="1"/>
  <c r="K6" i="1"/>
  <c r="AA15" i="66"/>
  <c r="AA12" i="66"/>
  <c r="AA11" i="66"/>
  <c r="AA10" i="66"/>
  <c r="AA9" i="66"/>
  <c r="AA8" i="66"/>
  <c r="AA7" i="66"/>
  <c r="AA6" i="66"/>
  <c r="C63" i="28"/>
  <c r="E28" i="28"/>
  <c r="E27" i="28"/>
  <c r="F24" i="67"/>
  <c r="D29" i="28" s="1"/>
  <c r="E29" i="28" s="1"/>
  <c r="W15" i="66"/>
  <c r="W11" i="66"/>
  <c r="W12" i="66"/>
  <c r="W10" i="66"/>
  <c r="W9" i="66"/>
  <c r="W8" i="66"/>
  <c r="W7" i="66"/>
  <c r="W6" i="66"/>
  <c r="I4" i="1"/>
  <c r="C35" i="55"/>
  <c r="D32" i="55"/>
  <c r="D31" i="55"/>
  <c r="E31" i="55" s="1"/>
  <c r="F7" i="67"/>
  <c r="F20" i="67"/>
  <c r="K24" i="66"/>
  <c r="K21" i="66" s="1"/>
  <c r="L21" i="66" s="1"/>
  <c r="E24" i="55" s="1"/>
  <c r="I23" i="1"/>
  <c r="C33" i="39"/>
  <c r="F5" i="67"/>
  <c r="D24" i="39" s="1"/>
  <c r="G21" i="66"/>
  <c r="H21" i="66" s="1"/>
  <c r="D23" i="39" s="1"/>
  <c r="E29" i="55"/>
  <c r="E28" i="55"/>
  <c r="E27" i="55"/>
  <c r="E26" i="55"/>
  <c r="S5" i="66"/>
  <c r="T5" i="66" s="1"/>
  <c r="E25" i="55"/>
  <c r="E23" i="55"/>
  <c r="E22" i="55"/>
  <c r="C65" i="55"/>
  <c r="I22" i="1"/>
  <c r="AI34" i="53"/>
  <c r="F9" i="67"/>
  <c r="D24" i="53" s="1"/>
  <c r="D24" i="57" l="1"/>
  <c r="D24" i="52"/>
  <c r="K31" i="45"/>
  <c r="D30" i="55"/>
  <c r="E30" i="55" s="1"/>
  <c r="AE5" i="66"/>
  <c r="AF5" i="66" s="1"/>
  <c r="D23" i="30" s="1"/>
  <c r="AA5" i="66"/>
  <c r="AB5" i="66" s="1"/>
  <c r="W5" i="66"/>
  <c r="X5" i="66" s="1"/>
  <c r="G31" i="1"/>
  <c r="G32" i="1"/>
  <c r="G33" i="1"/>
  <c r="G30" i="1"/>
  <c r="D29" i="71" s="1"/>
  <c r="E29" i="71" s="1"/>
  <c r="G28" i="1"/>
  <c r="D27" i="71" s="1"/>
  <c r="E27" i="71" s="1"/>
  <c r="G20" i="1"/>
  <c r="D17" i="71" s="1"/>
  <c r="E17" i="71" s="1"/>
  <c r="G6" i="1"/>
  <c r="D5" i="71" s="1"/>
  <c r="E5" i="71" s="1"/>
  <c r="G5" i="1"/>
  <c r="D4" i="71" s="1"/>
  <c r="E4" i="71" s="1"/>
  <c r="AC28" i="27"/>
  <c r="AB28" i="27"/>
  <c r="AA28" i="27"/>
  <c r="G29" i="1" s="1"/>
  <c r="D28" i="71" s="1"/>
  <c r="E28" i="71" s="1"/>
  <c r="AC27" i="27"/>
  <c r="AB27" i="27"/>
  <c r="AA27" i="27"/>
  <c r="AB26" i="27"/>
  <c r="AA26" i="27"/>
  <c r="G27" i="1" s="1"/>
  <c r="D26" i="71" s="1"/>
  <c r="E26" i="71" s="1"/>
  <c r="AA25" i="27"/>
  <c r="G26" i="1" s="1"/>
  <c r="D24" i="71" s="1"/>
  <c r="E24" i="71" s="1"/>
  <c r="AC24" i="27"/>
  <c r="G25" i="1" s="1"/>
  <c r="D22" i="71" s="1"/>
  <c r="E22" i="71" s="1"/>
  <c r="J22" i="71" s="1"/>
  <c r="AB24" i="27"/>
  <c r="AA24" i="27"/>
  <c r="AA23" i="27"/>
  <c r="G24" i="1" s="1"/>
  <c r="D21" i="71" s="1"/>
  <c r="E21" i="71" s="1"/>
  <c r="AB22" i="27"/>
  <c r="G23" i="1" s="1"/>
  <c r="D20" i="71" s="1"/>
  <c r="E20" i="71" s="1"/>
  <c r="AA22" i="27"/>
  <c r="AC21" i="27"/>
  <c r="G22" i="1" s="1"/>
  <c r="D19" i="71" s="1"/>
  <c r="E19" i="71" s="1"/>
  <c r="AB21" i="27"/>
  <c r="AA21" i="27"/>
  <c r="AC20" i="27"/>
  <c r="AB20" i="27"/>
  <c r="G21" i="1" s="1"/>
  <c r="D18" i="71" s="1"/>
  <c r="E18" i="71" s="1"/>
  <c r="AA20" i="27"/>
  <c r="AC19" i="27"/>
  <c r="AB19" i="27"/>
  <c r="AA19" i="27"/>
  <c r="AC18" i="27"/>
  <c r="AB18" i="27"/>
  <c r="G19" i="1" s="1"/>
  <c r="D16" i="71" s="1"/>
  <c r="E16" i="71" s="1"/>
  <c r="AA18" i="27"/>
  <c r="AC17" i="27"/>
  <c r="AB17" i="27"/>
  <c r="G18" i="1" s="1"/>
  <c r="D15" i="71" s="1"/>
  <c r="E15" i="71" s="1"/>
  <c r="AA17" i="27"/>
  <c r="AC16" i="27"/>
  <c r="AB16" i="27"/>
  <c r="AA16" i="27"/>
  <c r="G17" i="1" s="1"/>
  <c r="D13" i="71" s="1"/>
  <c r="E13" i="71" s="1"/>
  <c r="AC15" i="27"/>
  <c r="AB15" i="27"/>
  <c r="G16" i="1" s="1"/>
  <c r="D12" i="71" s="1"/>
  <c r="E12" i="71" s="1"/>
  <c r="AA15" i="27"/>
  <c r="AC14" i="27"/>
  <c r="G15" i="1" s="1"/>
  <c r="D11" i="71" s="1"/>
  <c r="E11" i="71" s="1"/>
  <c r="AB14" i="27"/>
  <c r="AA14" i="27"/>
  <c r="AC13" i="27"/>
  <c r="G14" i="1" s="1"/>
  <c r="D25" i="71" s="1"/>
  <c r="E25" i="71" s="1"/>
  <c r="AB13" i="27"/>
  <c r="AA13" i="27"/>
  <c r="AC12" i="27"/>
  <c r="G13" i="1" s="1"/>
  <c r="D23" i="71" s="1"/>
  <c r="E23" i="71" s="1"/>
  <c r="AB12" i="27"/>
  <c r="AA12" i="27"/>
  <c r="AC11" i="27"/>
  <c r="AB11" i="27"/>
  <c r="AA11" i="27"/>
  <c r="G12" i="1" s="1"/>
  <c r="D14" i="71" s="1"/>
  <c r="E14" i="71" s="1"/>
  <c r="J14" i="71" s="1"/>
  <c r="AA10" i="27"/>
  <c r="AB8" i="27"/>
  <c r="AA8" i="27"/>
  <c r="G9" i="1" s="1"/>
  <c r="D8" i="71" s="1"/>
  <c r="E8" i="71" s="1"/>
  <c r="AA7" i="27"/>
  <c r="G8" i="1" s="1"/>
  <c r="D7" i="71" s="1"/>
  <c r="E7" i="71" s="1"/>
  <c r="AC6" i="27"/>
  <c r="G7" i="1" s="1"/>
  <c r="D6" i="71" s="1"/>
  <c r="E6" i="71" s="1"/>
  <c r="AB6" i="27"/>
  <c r="AA6" i="27"/>
  <c r="AC5" i="27"/>
  <c r="AB5" i="27"/>
  <c r="AA5" i="27"/>
  <c r="AC4" i="27"/>
  <c r="AA4" i="27"/>
  <c r="AC3" i="27"/>
  <c r="G4" i="1" s="1"/>
  <c r="D3" i="71" s="1"/>
  <c r="AB3" i="27"/>
  <c r="AA3" i="27"/>
  <c r="J5" i="71" l="1"/>
  <c r="J21" i="71"/>
  <c r="G21" i="71"/>
  <c r="J17" i="71"/>
  <c r="K22" i="71"/>
  <c r="L22" i="71"/>
  <c r="J24" i="71"/>
  <c r="J15" i="71"/>
  <c r="J26" i="71"/>
  <c r="G26" i="71"/>
  <c r="J16" i="71"/>
  <c r="J25" i="71"/>
  <c r="G4" i="71"/>
  <c r="J4" i="71"/>
  <c r="J6" i="71"/>
  <c r="J11" i="71"/>
  <c r="J20" i="71"/>
  <c r="G29" i="71"/>
  <c r="J29" i="71"/>
  <c r="J7" i="71"/>
  <c r="J18" i="71"/>
  <c r="J23" i="71"/>
  <c r="J8" i="71"/>
  <c r="J28" i="71"/>
  <c r="G28" i="71"/>
  <c r="J27" i="71"/>
  <c r="J12" i="71"/>
  <c r="G10" i="1"/>
  <c r="D9" i="71" s="1"/>
  <c r="E9" i="71" s="1"/>
  <c r="E31" i="71" s="1"/>
  <c r="AD10" i="27"/>
  <c r="AD9" i="27"/>
  <c r="J13" i="71"/>
  <c r="K14" i="71"/>
  <c r="L14" i="71"/>
  <c r="J19" i="71"/>
  <c r="G11" i="1"/>
  <c r="D10" i="71" s="1"/>
  <c r="E10" i="71" s="1"/>
  <c r="E23" i="30"/>
  <c r="I21" i="1"/>
  <c r="AI23" i="52"/>
  <c r="AI22" i="52"/>
  <c r="AI27" i="52"/>
  <c r="AI26" i="52"/>
  <c r="AI25" i="52"/>
  <c r="AI24" i="52"/>
  <c r="E30" i="52"/>
  <c r="E29" i="52"/>
  <c r="E28" i="52"/>
  <c r="E27" i="52"/>
  <c r="O5" i="66"/>
  <c r="P5" i="66" s="1"/>
  <c r="F16" i="67"/>
  <c r="D25" i="54" s="1"/>
  <c r="F18" i="67"/>
  <c r="K26" i="71" l="1"/>
  <c r="L26" i="71"/>
  <c r="L20" i="71"/>
  <c r="K20" i="71"/>
  <c r="K12" i="71"/>
  <c r="L12" i="71"/>
  <c r="K11" i="71"/>
  <c r="L11" i="71"/>
  <c r="K17" i="71"/>
  <c r="L17" i="71"/>
  <c r="K21" i="71"/>
  <c r="L21" i="71"/>
  <c r="K29" i="71"/>
  <c r="L29" i="71"/>
  <c r="K28" i="71"/>
  <c r="L28" i="71"/>
  <c r="K25" i="71"/>
  <c r="L25" i="71"/>
  <c r="L27" i="71"/>
  <c r="K27" i="71"/>
  <c r="K6" i="71"/>
  <c r="L6" i="71"/>
  <c r="K3" i="71"/>
  <c r="L3" i="71"/>
  <c r="J9" i="71"/>
  <c r="J10" i="71"/>
  <c r="L8" i="71"/>
  <c r="K8" i="71"/>
  <c r="K19" i="71"/>
  <c r="L19" i="71"/>
  <c r="K16" i="71"/>
  <c r="L16" i="71"/>
  <c r="L15" i="71"/>
  <c r="K15" i="71"/>
  <c r="K24" i="71"/>
  <c r="L24" i="71"/>
  <c r="K4" i="71"/>
  <c r="L4" i="71"/>
  <c r="K23" i="71"/>
  <c r="L23" i="71"/>
  <c r="K13" i="71"/>
  <c r="L13" i="71"/>
  <c r="L18" i="71"/>
  <c r="K18" i="71"/>
  <c r="L7" i="71"/>
  <c r="K7" i="71"/>
  <c r="K5" i="71"/>
  <c r="L5" i="71"/>
  <c r="D23" i="54"/>
  <c r="E23" i="54" s="1"/>
  <c r="D26" i="52"/>
  <c r="W20" i="1"/>
  <c r="AI20" i="1"/>
  <c r="AH20" i="1"/>
  <c r="AF20" i="1"/>
  <c r="AE20" i="1"/>
  <c r="AC20" i="1"/>
  <c r="AB20" i="1"/>
  <c r="V20" i="1"/>
  <c r="E33" i="51"/>
  <c r="E32" i="51"/>
  <c r="E31" i="51"/>
  <c r="E30" i="51"/>
  <c r="E29" i="51"/>
  <c r="E28" i="51"/>
  <c r="D26" i="51"/>
  <c r="E26" i="51" s="1"/>
  <c r="E25" i="51"/>
  <c r="E23" i="51"/>
  <c r="E22" i="51"/>
  <c r="C63" i="38"/>
  <c r="C15" i="68"/>
  <c r="AI24" i="38"/>
  <c r="E30" i="38"/>
  <c r="E29" i="38"/>
  <c r="E28" i="38"/>
  <c r="E26" i="38"/>
  <c r="E25" i="38"/>
  <c r="E23" i="38"/>
  <c r="J31" i="71" l="1"/>
  <c r="J33" i="71" s="1"/>
  <c r="L10" i="71"/>
  <c r="K10" i="71"/>
  <c r="L9" i="71"/>
  <c r="L31" i="71" s="1"/>
  <c r="K9" i="71"/>
  <c r="AI29" i="43"/>
  <c r="AI28" i="43"/>
  <c r="AI27" i="43"/>
  <c r="AI26" i="43"/>
  <c r="AI25" i="43"/>
  <c r="AI24" i="43"/>
  <c r="F22" i="67"/>
  <c r="D28" i="43" s="1"/>
  <c r="K8" i="66"/>
  <c r="K6" i="66"/>
  <c r="K15" i="66"/>
  <c r="K12" i="66"/>
  <c r="K11" i="66"/>
  <c r="K10" i="66"/>
  <c r="K9" i="66"/>
  <c r="K7" i="66"/>
  <c r="K31" i="71" l="1"/>
  <c r="K5" i="66"/>
  <c r="L5" i="66" s="1"/>
  <c r="D24" i="38" l="1"/>
  <c r="E24" i="38" s="1"/>
  <c r="D25" i="43"/>
  <c r="C63" i="42"/>
  <c r="I16" i="1" l="1"/>
  <c r="I19" i="45" l="1"/>
  <c r="AI27" i="41"/>
  <c r="AI24" i="41"/>
  <c r="K31" i="66"/>
  <c r="L31" i="66" s="1"/>
  <c r="I22" i="41" s="1"/>
  <c r="C63" i="41"/>
  <c r="E26" i="41"/>
  <c r="K19" i="45" l="1"/>
  <c r="I15" i="45"/>
  <c r="K15" i="45" s="1"/>
  <c r="G33" i="66"/>
  <c r="D26" i="37"/>
  <c r="G15" i="66"/>
  <c r="G12" i="66"/>
  <c r="G10" i="66"/>
  <c r="G9" i="66"/>
  <c r="G8" i="66"/>
  <c r="G7" i="66"/>
  <c r="G11" i="66"/>
  <c r="G6" i="66"/>
  <c r="G31" i="66" l="1"/>
  <c r="H31" i="66" s="1"/>
  <c r="G5" i="66"/>
  <c r="H5" i="66" s="1"/>
  <c r="C30" i="68"/>
  <c r="C63" i="34"/>
  <c r="C14" i="68"/>
  <c r="I22" i="59" l="1"/>
  <c r="J22" i="59" s="1"/>
  <c r="J34" i="59" s="1"/>
  <c r="I22" i="37"/>
  <c r="D24" i="37"/>
  <c r="E24" i="51"/>
  <c r="I12" i="45"/>
  <c r="H12" i="45"/>
  <c r="K8" i="45"/>
  <c r="H34" i="33"/>
  <c r="I23" i="33"/>
  <c r="C35" i="66"/>
  <c r="C32" i="66"/>
  <c r="K12" i="45" l="1"/>
  <c r="C31" i="66"/>
  <c r="D31" i="66" s="1"/>
  <c r="I22" i="33" s="1"/>
  <c r="K39" i="45"/>
  <c r="C64" i="33" l="1"/>
  <c r="D12" i="68"/>
  <c r="D14" i="68"/>
  <c r="D54" i="34" s="1"/>
  <c r="D15" i="68"/>
  <c r="D16" i="68"/>
  <c r="D17" i="68"/>
  <c r="D18" i="68"/>
  <c r="D19" i="68"/>
  <c r="D20" i="68"/>
  <c r="D21" i="68"/>
  <c r="D28" i="68"/>
  <c r="D29" i="68"/>
  <c r="D30" i="68"/>
  <c r="D57" i="35" s="1"/>
  <c r="D31" i="68"/>
  <c r="D32" i="68"/>
  <c r="D33" i="68"/>
  <c r="D34" i="68"/>
  <c r="D35" i="68"/>
  <c r="D31" i="37" s="1"/>
  <c r="D36" i="68"/>
  <c r="D31" i="33" s="1"/>
  <c r="D38" i="68"/>
  <c r="D39" i="68"/>
  <c r="D40" i="68"/>
  <c r="D41" i="68"/>
  <c r="C13" i="68"/>
  <c r="D13" i="68" s="1"/>
  <c r="C27" i="68"/>
  <c r="D27" i="68" s="1"/>
  <c r="C26" i="68"/>
  <c r="D26" i="68" s="1"/>
  <c r="C25" i="68"/>
  <c r="D25" i="68" s="1"/>
  <c r="C24" i="68"/>
  <c r="D24" i="68" s="1"/>
  <c r="C23" i="68"/>
  <c r="D23" i="68" s="1"/>
  <c r="C22" i="68"/>
  <c r="D22" i="68" s="1"/>
  <c r="C11" i="68"/>
  <c r="D11" i="68" s="1"/>
  <c r="D10" i="68"/>
  <c r="D56" i="33" s="1"/>
  <c r="C9" i="68"/>
  <c r="D9" i="68" s="1"/>
  <c r="D55" i="34" s="1"/>
  <c r="C8" i="68"/>
  <c r="D8" i="68" s="1"/>
  <c r="C7" i="68"/>
  <c r="D7" i="68" s="1"/>
  <c r="C6" i="68"/>
  <c r="D6" i="68" s="1"/>
  <c r="D42" i="68"/>
  <c r="D43" i="68"/>
  <c r="F12" i="67"/>
  <c r="C5" i="68"/>
  <c r="D5" i="68" s="1"/>
  <c r="C21" i="66"/>
  <c r="D21" i="66" s="1"/>
  <c r="D23" i="33" s="1"/>
  <c r="C5" i="66"/>
  <c r="D5" i="66" s="1"/>
  <c r="D57" i="57" l="1"/>
  <c r="E57" i="57" s="1"/>
  <c r="D53" i="28"/>
  <c r="D55" i="37"/>
  <c r="D53" i="34"/>
  <c r="D53" i="35"/>
  <c r="D55" i="33"/>
  <c r="D27" i="51"/>
  <c r="E27" i="51" s="1"/>
  <c r="D27" i="38"/>
  <c r="E27" i="38" s="1"/>
  <c r="D27" i="37"/>
  <c r="D53" i="53"/>
  <c r="D53" i="44"/>
  <c r="D53" i="57"/>
  <c r="D53" i="54"/>
  <c r="D54" i="28"/>
  <c r="D53" i="52"/>
  <c r="D53" i="43"/>
  <c r="D54" i="42"/>
  <c r="D54" i="33"/>
  <c r="D54" i="38"/>
  <c r="D55" i="42"/>
  <c r="D55" i="35"/>
  <c r="D54" i="30"/>
  <c r="D54" i="41"/>
  <c r="E54" i="41" s="1"/>
  <c r="D56" i="37"/>
  <c r="D56" i="35"/>
  <c r="D55" i="60"/>
  <c r="D55" i="31"/>
  <c r="D55" i="39"/>
  <c r="D55" i="40"/>
  <c r="D55" i="58"/>
  <c r="D55" i="32"/>
  <c r="D56" i="42"/>
  <c r="D59" i="41"/>
  <c r="E59" i="41" s="1"/>
  <c r="D56" i="34"/>
  <c r="D54" i="32"/>
  <c r="D54" i="60"/>
  <c r="D54" i="39"/>
  <c r="D54" i="31"/>
  <c r="D55" i="28"/>
  <c r="D56" i="55"/>
  <c r="D54" i="57"/>
  <c r="D54" i="54"/>
  <c r="D54" i="51"/>
  <c r="D54" i="40"/>
  <c r="D55" i="30"/>
  <c r="D54" i="58"/>
  <c r="D54" i="53"/>
  <c r="D54" i="52"/>
  <c r="D56" i="38"/>
  <c r="D57" i="42"/>
  <c r="D58" i="41"/>
  <c r="E58" i="41" s="1"/>
  <c r="D60" i="37"/>
  <c r="D58" i="35"/>
  <c r="D57" i="34"/>
  <c r="D53" i="60"/>
  <c r="D53" i="39"/>
  <c r="D53" i="31"/>
  <c r="D53" i="58"/>
  <c r="D53" i="40"/>
  <c r="D53" i="32"/>
  <c r="D55" i="51"/>
  <c r="D55" i="54"/>
  <c r="D57" i="55"/>
  <c r="D55" i="57"/>
  <c r="D56" i="30"/>
  <c r="D55" i="53"/>
  <c r="D55" i="52"/>
  <c r="D57" i="38"/>
  <c r="D54" i="43"/>
  <c r="D58" i="42"/>
  <c r="D56" i="41"/>
  <c r="E56" i="41" s="1"/>
  <c r="D58" i="37"/>
  <c r="D58" i="34"/>
  <c r="D59" i="35"/>
  <c r="D24" i="33"/>
  <c r="D26" i="57"/>
  <c r="D31" i="38"/>
  <c r="E31" i="38" s="1"/>
  <c r="D58" i="38"/>
  <c r="D57" i="41"/>
  <c r="E57" i="41" s="1"/>
  <c r="D59" i="37"/>
  <c r="D55" i="55"/>
  <c r="D53" i="38"/>
  <c r="D57" i="33"/>
  <c r="D55" i="38"/>
  <c r="D55" i="41"/>
  <c r="E55" i="41" s="1"/>
  <c r="D57" i="37"/>
  <c r="D58" i="33"/>
  <c r="D59" i="33"/>
  <c r="D53" i="30"/>
  <c r="D53" i="51"/>
  <c r="D53" i="42"/>
  <c r="D53" i="41"/>
  <c r="D54" i="37"/>
  <c r="D54" i="35"/>
  <c r="D22" i="35"/>
  <c r="D22" i="41"/>
  <c r="T37" i="45"/>
  <c r="T36" i="45"/>
  <c r="T35" i="45"/>
  <c r="T34" i="45"/>
  <c r="T33" i="45"/>
  <c r="T32" i="45"/>
  <c r="T31" i="45"/>
  <c r="T30" i="45"/>
  <c r="T29" i="45"/>
  <c r="T28" i="45"/>
  <c r="T27" i="45"/>
  <c r="T26" i="45"/>
  <c r="T25" i="45"/>
  <c r="T24" i="45"/>
  <c r="T23" i="45"/>
  <c r="Q37" i="45"/>
  <c r="Q36" i="45"/>
  <c r="Q35" i="45"/>
  <c r="Q34" i="45"/>
  <c r="Q33" i="45"/>
  <c r="Q32" i="45"/>
  <c r="Q31" i="45"/>
  <c r="Q30" i="45"/>
  <c r="Q29" i="45"/>
  <c r="Q28" i="45"/>
  <c r="Q27" i="45"/>
  <c r="Q26" i="45"/>
  <c r="Q25" i="45"/>
  <c r="Q24" i="45"/>
  <c r="Q23" i="45"/>
  <c r="M37" i="45"/>
  <c r="M36" i="45"/>
  <c r="M35" i="45"/>
  <c r="M34" i="45"/>
  <c r="M33" i="45"/>
  <c r="M32" i="45"/>
  <c r="M31" i="45"/>
  <c r="M30" i="45"/>
  <c r="M29" i="45"/>
  <c r="M28" i="45"/>
  <c r="M27" i="45"/>
  <c r="M26" i="45"/>
  <c r="M25" i="45"/>
  <c r="M24" i="45"/>
  <c r="M23" i="45"/>
  <c r="AK33" i="1"/>
  <c r="AK32" i="1"/>
  <c r="AK31" i="1"/>
  <c r="AK30" i="1"/>
  <c r="AK29" i="1"/>
  <c r="AK28" i="1"/>
  <c r="AK26" i="1"/>
  <c r="AK2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9" i="1"/>
  <c r="AI17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19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19" i="1"/>
  <c r="AF17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19" i="1"/>
  <c r="AE17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19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19" i="1"/>
  <c r="Z33" i="1"/>
  <c r="Z32" i="1"/>
  <c r="Z31" i="1"/>
  <c r="Z30" i="1"/>
  <c r="Z29" i="1"/>
  <c r="Z27" i="1"/>
  <c r="Z26" i="1"/>
  <c r="Z24" i="1"/>
  <c r="Z23" i="1"/>
  <c r="Z22" i="1"/>
  <c r="Z21" i="1"/>
  <c r="Z19" i="1"/>
  <c r="Y33" i="1"/>
  <c r="Y32" i="1"/>
  <c r="Y31" i="1"/>
  <c r="Y30" i="1"/>
  <c r="Y29" i="1"/>
  <c r="Y27" i="1"/>
  <c r="Y26" i="1"/>
  <c r="Y24" i="1"/>
  <c r="Y23" i="1"/>
  <c r="Y22" i="1"/>
  <c r="Y21" i="1"/>
  <c r="Y19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19" i="1"/>
  <c r="V33" i="1"/>
  <c r="V32" i="1"/>
  <c r="V31" i="1"/>
  <c r="V30" i="1"/>
  <c r="V29" i="1"/>
  <c r="V28" i="1"/>
  <c r="V26" i="1"/>
  <c r="V25" i="1"/>
  <c r="V24" i="1"/>
  <c r="V23" i="1"/>
  <c r="V22" i="1"/>
  <c r="V21" i="1"/>
  <c r="V19" i="1"/>
  <c r="S33" i="1"/>
  <c r="S32" i="1"/>
  <c r="S31" i="1"/>
  <c r="S30" i="1"/>
  <c r="S29" i="1"/>
  <c r="S27" i="1"/>
  <c r="S24" i="1"/>
  <c r="Q33" i="1"/>
  <c r="Q32" i="1"/>
  <c r="Q31" i="1"/>
  <c r="Q30" i="1"/>
  <c r="Q29" i="1"/>
  <c r="Q28" i="1"/>
  <c r="Q27" i="1"/>
  <c r="Q26" i="1"/>
  <c r="Q24" i="1"/>
  <c r="Q21" i="1"/>
  <c r="N33" i="1"/>
  <c r="N32" i="1"/>
  <c r="N31" i="1"/>
  <c r="N30" i="1"/>
  <c r="N29" i="1"/>
  <c r="N28" i="1"/>
  <c r="N27" i="1"/>
  <c r="N26" i="1"/>
  <c r="N24" i="1"/>
  <c r="C3" i="65"/>
  <c r="C2" i="65"/>
  <c r="B1" i="65"/>
  <c r="C3" i="64"/>
  <c r="C2" i="64"/>
  <c r="B1" i="64"/>
  <c r="C3" i="63"/>
  <c r="C2" i="63"/>
  <c r="B1" i="63"/>
  <c r="C2" i="62"/>
  <c r="C3" i="62"/>
  <c r="B1" i="62"/>
  <c r="C3" i="61"/>
  <c r="C2" i="61"/>
  <c r="B1" i="61"/>
  <c r="C3" i="60"/>
  <c r="C2" i="60"/>
  <c r="B1" i="60"/>
  <c r="C3" i="59"/>
  <c r="C2" i="59"/>
  <c r="B1" i="59"/>
  <c r="C3" i="58"/>
  <c r="C2" i="58"/>
  <c r="B1" i="58"/>
  <c r="C3" i="57"/>
  <c r="C2" i="57"/>
  <c r="B1" i="57"/>
  <c r="C3" i="56"/>
  <c r="C2" i="56"/>
  <c r="B1" i="56"/>
  <c r="C3" i="55"/>
  <c r="C2" i="55"/>
  <c r="B1" i="55"/>
  <c r="C3" i="54"/>
  <c r="C2" i="54"/>
  <c r="B1" i="54"/>
  <c r="C3" i="53"/>
  <c r="C2" i="53"/>
  <c r="B1" i="53"/>
  <c r="C2" i="52"/>
  <c r="C3" i="52"/>
  <c r="B1" i="52"/>
  <c r="C3" i="51" l="1"/>
  <c r="C2" i="51"/>
  <c r="B1" i="51"/>
  <c r="E65" i="65"/>
  <c r="E63" i="65"/>
  <c r="E62" i="65"/>
  <c r="E61" i="65"/>
  <c r="E60" i="65"/>
  <c r="E59" i="65"/>
  <c r="E58" i="65"/>
  <c r="E57" i="65"/>
  <c r="E56" i="65"/>
  <c r="E55" i="65"/>
  <c r="E54" i="65"/>
  <c r="E53" i="65"/>
  <c r="E48" i="65"/>
  <c r="E46" i="65"/>
  <c r="E45" i="65"/>
  <c r="E44" i="65"/>
  <c r="E43" i="65"/>
  <c r="E42" i="65"/>
  <c r="E41" i="65"/>
  <c r="E40" i="65"/>
  <c r="AI35" i="65"/>
  <c r="AD35" i="65"/>
  <c r="Y35" i="65"/>
  <c r="T35" i="65"/>
  <c r="O35" i="65"/>
  <c r="J35" i="65"/>
  <c r="E35" i="65"/>
  <c r="AI33" i="65"/>
  <c r="AD33" i="65"/>
  <c r="Y33" i="65"/>
  <c r="T33" i="65"/>
  <c r="O33" i="65"/>
  <c r="J33" i="65"/>
  <c r="E33" i="65"/>
  <c r="AI32" i="65"/>
  <c r="AD32" i="65"/>
  <c r="Y32" i="65"/>
  <c r="T32" i="65"/>
  <c r="O32" i="65"/>
  <c r="J32" i="65"/>
  <c r="E32" i="65"/>
  <c r="AI31" i="65"/>
  <c r="AD31" i="65"/>
  <c r="Y31" i="65"/>
  <c r="T31" i="65"/>
  <c r="O31" i="65"/>
  <c r="J31" i="65"/>
  <c r="E31" i="65"/>
  <c r="AI30" i="65"/>
  <c r="AD30" i="65"/>
  <c r="Y30" i="65"/>
  <c r="T30" i="65"/>
  <c r="O30" i="65"/>
  <c r="J30" i="65"/>
  <c r="E30" i="65"/>
  <c r="AI29" i="65"/>
  <c r="AD29" i="65"/>
  <c r="Y29" i="65"/>
  <c r="T29" i="65"/>
  <c r="O29" i="65"/>
  <c r="J29" i="65"/>
  <c r="E29" i="65"/>
  <c r="AI28" i="65"/>
  <c r="AD28" i="65"/>
  <c r="Y28" i="65"/>
  <c r="T28" i="65"/>
  <c r="O28" i="65"/>
  <c r="J28" i="65"/>
  <c r="E28" i="65"/>
  <c r="AI27" i="65"/>
  <c r="AD27" i="65"/>
  <c r="Y27" i="65"/>
  <c r="T27" i="65"/>
  <c r="O27" i="65"/>
  <c r="J27" i="65"/>
  <c r="E27" i="65"/>
  <c r="AI26" i="65"/>
  <c r="AD26" i="65"/>
  <c r="Y26" i="65"/>
  <c r="T26" i="65"/>
  <c r="O26" i="65"/>
  <c r="J26" i="65"/>
  <c r="E26" i="65"/>
  <c r="AI25" i="65"/>
  <c r="AD25" i="65"/>
  <c r="Y25" i="65"/>
  <c r="T25" i="65"/>
  <c r="O25" i="65"/>
  <c r="J25" i="65"/>
  <c r="E25" i="65"/>
  <c r="AI24" i="65"/>
  <c r="AD24" i="65"/>
  <c r="Y24" i="65"/>
  <c r="T24" i="65"/>
  <c r="O24" i="65"/>
  <c r="J24" i="65"/>
  <c r="E24" i="65"/>
  <c r="AI23" i="65"/>
  <c r="AB23" i="65"/>
  <c r="AD23" i="65" s="1"/>
  <c r="Y23" i="65"/>
  <c r="W23" i="65"/>
  <c r="R23" i="65"/>
  <c r="T23" i="65" s="1"/>
  <c r="M23" i="65"/>
  <c r="O23" i="65" s="1"/>
  <c r="J23" i="65"/>
  <c r="E23" i="65"/>
  <c r="AI22" i="65"/>
  <c r="AD22" i="65"/>
  <c r="Y22" i="65"/>
  <c r="T22" i="65"/>
  <c r="O22" i="65"/>
  <c r="J22" i="65"/>
  <c r="E22" i="65"/>
  <c r="AB14" i="65"/>
  <c r="W14" i="65"/>
  <c r="R14" i="65"/>
  <c r="M14" i="65"/>
  <c r="H14" i="65"/>
  <c r="AD13" i="65"/>
  <c r="AC13" i="65"/>
  <c r="AB13" i="65"/>
  <c r="D12" i="65"/>
  <c r="C12" i="65"/>
  <c r="AD11" i="65"/>
  <c r="AC11" i="65"/>
  <c r="AB11" i="65"/>
  <c r="E11" i="65"/>
  <c r="E10" i="65"/>
  <c r="E9" i="65"/>
  <c r="E8" i="65"/>
  <c r="C5" i="65"/>
  <c r="D18" i="65"/>
  <c r="E65" i="64"/>
  <c r="E63" i="64"/>
  <c r="E62" i="64"/>
  <c r="E61" i="64"/>
  <c r="E60" i="64"/>
  <c r="E59" i="64"/>
  <c r="E58" i="64"/>
  <c r="E57" i="64"/>
  <c r="E56" i="64"/>
  <c r="E55" i="64"/>
  <c r="E54" i="64"/>
  <c r="E53" i="64"/>
  <c r="E48" i="64"/>
  <c r="E46" i="64"/>
  <c r="E45" i="64"/>
  <c r="E44" i="64"/>
  <c r="E43" i="64"/>
  <c r="E42" i="64"/>
  <c r="E41" i="64"/>
  <c r="E40" i="64"/>
  <c r="AI35" i="64"/>
  <c r="AD35" i="64"/>
  <c r="Y35" i="64"/>
  <c r="T35" i="64"/>
  <c r="O35" i="64"/>
  <c r="J35" i="64"/>
  <c r="E35" i="64"/>
  <c r="AI33" i="64"/>
  <c r="AD33" i="64"/>
  <c r="Y33" i="64"/>
  <c r="T33" i="64"/>
  <c r="O33" i="64"/>
  <c r="J33" i="64"/>
  <c r="E33" i="64"/>
  <c r="AI32" i="64"/>
  <c r="AD32" i="64"/>
  <c r="Y32" i="64"/>
  <c r="T32" i="64"/>
  <c r="O32" i="64"/>
  <c r="J32" i="64"/>
  <c r="E32" i="64"/>
  <c r="AI31" i="64"/>
  <c r="AD31" i="64"/>
  <c r="Y31" i="64"/>
  <c r="T31" i="64"/>
  <c r="O31" i="64"/>
  <c r="J31" i="64"/>
  <c r="E31" i="64"/>
  <c r="AI30" i="64"/>
  <c r="AD30" i="64"/>
  <c r="Y30" i="64"/>
  <c r="T30" i="64"/>
  <c r="O30" i="64"/>
  <c r="J30" i="64"/>
  <c r="E30" i="64"/>
  <c r="AI29" i="64"/>
  <c r="AD29" i="64"/>
  <c r="Y29" i="64"/>
  <c r="T29" i="64"/>
  <c r="O29" i="64"/>
  <c r="J29" i="64"/>
  <c r="E29" i="64"/>
  <c r="AI28" i="64"/>
  <c r="AD28" i="64"/>
  <c r="Y28" i="64"/>
  <c r="T28" i="64"/>
  <c r="O28" i="64"/>
  <c r="J28" i="64"/>
  <c r="E28" i="64"/>
  <c r="AI27" i="64"/>
  <c r="AD27" i="64"/>
  <c r="Y27" i="64"/>
  <c r="T27" i="64"/>
  <c r="O27" i="64"/>
  <c r="J27" i="64"/>
  <c r="E27" i="64"/>
  <c r="AI26" i="64"/>
  <c r="AD26" i="64"/>
  <c r="Y26" i="64"/>
  <c r="T26" i="64"/>
  <c r="O26" i="64"/>
  <c r="J26" i="64"/>
  <c r="E26" i="64"/>
  <c r="AI25" i="64"/>
  <c r="AD25" i="64"/>
  <c r="Y25" i="64"/>
  <c r="T25" i="64"/>
  <c r="O25" i="64"/>
  <c r="J25" i="64"/>
  <c r="E25" i="64"/>
  <c r="AI24" i="64"/>
  <c r="AD24" i="64"/>
  <c r="Y24" i="64"/>
  <c r="T24" i="64"/>
  <c r="O24" i="64"/>
  <c r="J24" i="64"/>
  <c r="E24" i="64"/>
  <c r="AI23" i="64"/>
  <c r="AB23" i="64"/>
  <c r="AD23" i="64" s="1"/>
  <c r="W23" i="64"/>
  <c r="Y23" i="64" s="1"/>
  <c r="R23" i="64"/>
  <c r="T23" i="64" s="1"/>
  <c r="M23" i="64"/>
  <c r="O23" i="64" s="1"/>
  <c r="J23" i="64"/>
  <c r="E23" i="64"/>
  <c r="AI22" i="64"/>
  <c r="AD22" i="64"/>
  <c r="Y22" i="64"/>
  <c r="T22" i="64"/>
  <c r="O22" i="64"/>
  <c r="J22" i="64"/>
  <c r="E22" i="64"/>
  <c r="AB14" i="64"/>
  <c r="W14" i="64"/>
  <c r="R14" i="64"/>
  <c r="M14" i="64"/>
  <c r="H14" i="64"/>
  <c r="AD13" i="64"/>
  <c r="AC13" i="64"/>
  <c r="AB13" i="64"/>
  <c r="D12" i="64"/>
  <c r="C12" i="64"/>
  <c r="AD11" i="64"/>
  <c r="AC11" i="64"/>
  <c r="AB11" i="64"/>
  <c r="E11" i="64"/>
  <c r="E10" i="64"/>
  <c r="E9" i="64"/>
  <c r="E8" i="64"/>
  <c r="D18" i="64"/>
  <c r="E65" i="63"/>
  <c r="E63" i="63"/>
  <c r="E62" i="63"/>
  <c r="E61" i="63"/>
  <c r="E60" i="63"/>
  <c r="E59" i="63"/>
  <c r="E58" i="63"/>
  <c r="E57" i="63"/>
  <c r="E56" i="63"/>
  <c r="E55" i="63"/>
  <c r="E54" i="63"/>
  <c r="E53" i="63"/>
  <c r="E48" i="63"/>
  <c r="E46" i="63"/>
  <c r="E45" i="63"/>
  <c r="E44" i="63"/>
  <c r="E43" i="63"/>
  <c r="E42" i="63"/>
  <c r="E41" i="63"/>
  <c r="E40" i="63"/>
  <c r="AI35" i="63"/>
  <c r="AD35" i="63"/>
  <c r="Y35" i="63"/>
  <c r="T35" i="63"/>
  <c r="O35" i="63"/>
  <c r="J35" i="63"/>
  <c r="E35" i="63"/>
  <c r="AI33" i="63"/>
  <c r="AD33" i="63"/>
  <c r="Y33" i="63"/>
  <c r="T33" i="63"/>
  <c r="O33" i="63"/>
  <c r="J33" i="63"/>
  <c r="E33" i="63"/>
  <c r="AI32" i="63"/>
  <c r="AD32" i="63"/>
  <c r="Y32" i="63"/>
  <c r="T32" i="63"/>
  <c r="O32" i="63"/>
  <c r="J32" i="63"/>
  <c r="E32" i="63"/>
  <c r="AI31" i="63"/>
  <c r="AD31" i="63"/>
  <c r="Y31" i="63"/>
  <c r="T31" i="63"/>
  <c r="O31" i="63"/>
  <c r="J31" i="63"/>
  <c r="E31" i="63"/>
  <c r="AI30" i="63"/>
  <c r="AD30" i="63"/>
  <c r="Y30" i="63"/>
  <c r="T30" i="63"/>
  <c r="O30" i="63"/>
  <c r="J30" i="63"/>
  <c r="E30" i="63"/>
  <c r="AI29" i="63"/>
  <c r="AD29" i="63"/>
  <c r="Y29" i="63"/>
  <c r="T29" i="63"/>
  <c r="O29" i="63"/>
  <c r="J29" i="63"/>
  <c r="E29" i="63"/>
  <c r="AI28" i="63"/>
  <c r="AD28" i="63"/>
  <c r="Y28" i="63"/>
  <c r="T28" i="63"/>
  <c r="O28" i="63"/>
  <c r="J28" i="63"/>
  <c r="E28" i="63"/>
  <c r="AI27" i="63"/>
  <c r="AD27" i="63"/>
  <c r="Y27" i="63"/>
  <c r="T27" i="63"/>
  <c r="O27" i="63"/>
  <c r="J27" i="63"/>
  <c r="E27" i="63"/>
  <c r="AI26" i="63"/>
  <c r="AD26" i="63"/>
  <c r="Y26" i="63"/>
  <c r="T26" i="63"/>
  <c r="O26" i="63"/>
  <c r="J26" i="63"/>
  <c r="E26" i="63"/>
  <c r="AI25" i="63"/>
  <c r="AD25" i="63"/>
  <c r="Y25" i="63"/>
  <c r="T25" i="63"/>
  <c r="O25" i="63"/>
  <c r="J25" i="63"/>
  <c r="E25" i="63"/>
  <c r="AI24" i="63"/>
  <c r="AD24" i="63"/>
  <c r="Y24" i="63"/>
  <c r="T24" i="63"/>
  <c r="O24" i="63"/>
  <c r="J24" i="63"/>
  <c r="E24" i="63"/>
  <c r="AI23" i="63"/>
  <c r="AB23" i="63"/>
  <c r="AD23" i="63" s="1"/>
  <c r="W23" i="63"/>
  <c r="Y23" i="63" s="1"/>
  <c r="R23" i="63"/>
  <c r="T23" i="63" s="1"/>
  <c r="M23" i="63"/>
  <c r="O23" i="63" s="1"/>
  <c r="J23" i="63"/>
  <c r="E23" i="63"/>
  <c r="AI22" i="63"/>
  <c r="AD22" i="63"/>
  <c r="Y22" i="63"/>
  <c r="T22" i="63"/>
  <c r="O22" i="63"/>
  <c r="J22" i="63"/>
  <c r="E22" i="63"/>
  <c r="AB14" i="63"/>
  <c r="W14" i="63"/>
  <c r="R14" i="63"/>
  <c r="M14" i="63"/>
  <c r="H14" i="63"/>
  <c r="AD13" i="63"/>
  <c r="AC13" i="63"/>
  <c r="AB13" i="63"/>
  <c r="D12" i="63"/>
  <c r="E12" i="63" s="1"/>
  <c r="C14" i="63" s="1"/>
  <c r="T31" i="1" s="1"/>
  <c r="AM31" i="1" s="1"/>
  <c r="C12" i="63"/>
  <c r="AD11" i="63"/>
  <c r="AC11" i="63"/>
  <c r="AB11" i="63"/>
  <c r="E11" i="63"/>
  <c r="E10" i="63"/>
  <c r="E9" i="63"/>
  <c r="E8" i="63"/>
  <c r="C5" i="63"/>
  <c r="D18" i="63"/>
  <c r="E65" i="62"/>
  <c r="E63" i="62"/>
  <c r="E62" i="62"/>
  <c r="E61" i="62"/>
  <c r="E60" i="62"/>
  <c r="E59" i="62"/>
  <c r="E58" i="62"/>
  <c r="E57" i="62"/>
  <c r="E56" i="62"/>
  <c r="E55" i="62"/>
  <c r="E54" i="62"/>
  <c r="E53" i="62"/>
  <c r="E48" i="62"/>
  <c r="E46" i="62"/>
  <c r="E45" i="62"/>
  <c r="E44" i="62"/>
  <c r="E43" i="62"/>
  <c r="E42" i="62"/>
  <c r="E41" i="62"/>
  <c r="E40" i="62"/>
  <c r="AI35" i="62"/>
  <c r="AD35" i="62"/>
  <c r="Y35" i="62"/>
  <c r="T35" i="62"/>
  <c r="O35" i="62"/>
  <c r="J35" i="62"/>
  <c r="E35" i="62"/>
  <c r="AI33" i="62"/>
  <c r="AD33" i="62"/>
  <c r="Y33" i="62"/>
  <c r="T33" i="62"/>
  <c r="O33" i="62"/>
  <c r="J33" i="62"/>
  <c r="E33" i="62"/>
  <c r="AI32" i="62"/>
  <c r="AD32" i="62"/>
  <c r="Y32" i="62"/>
  <c r="T32" i="62"/>
  <c r="O32" i="62"/>
  <c r="J32" i="62"/>
  <c r="E32" i="62"/>
  <c r="AI31" i="62"/>
  <c r="AD31" i="62"/>
  <c r="Y31" i="62"/>
  <c r="T31" i="62"/>
  <c r="O31" i="62"/>
  <c r="J31" i="62"/>
  <c r="E31" i="62"/>
  <c r="AI30" i="62"/>
  <c r="AD30" i="62"/>
  <c r="Y30" i="62"/>
  <c r="T30" i="62"/>
  <c r="O30" i="62"/>
  <c r="J30" i="62"/>
  <c r="E30" i="62"/>
  <c r="AI29" i="62"/>
  <c r="AD29" i="62"/>
  <c r="Y29" i="62"/>
  <c r="T29" i="62"/>
  <c r="O29" i="62"/>
  <c r="J29" i="62"/>
  <c r="E29" i="62"/>
  <c r="AI28" i="62"/>
  <c r="AD28" i="62"/>
  <c r="Y28" i="62"/>
  <c r="T28" i="62"/>
  <c r="O28" i="62"/>
  <c r="J28" i="62"/>
  <c r="E28" i="62"/>
  <c r="AI27" i="62"/>
  <c r="AD27" i="62"/>
  <c r="Y27" i="62"/>
  <c r="T27" i="62"/>
  <c r="O27" i="62"/>
  <c r="J27" i="62"/>
  <c r="E27" i="62"/>
  <c r="AI26" i="62"/>
  <c r="AD26" i="62"/>
  <c r="Y26" i="62"/>
  <c r="T26" i="62"/>
  <c r="O26" i="62"/>
  <c r="J26" i="62"/>
  <c r="AI25" i="62"/>
  <c r="AD25" i="62"/>
  <c r="Y25" i="62"/>
  <c r="T25" i="62"/>
  <c r="O25" i="62"/>
  <c r="J25" i="62"/>
  <c r="E25" i="62"/>
  <c r="AI24" i="62"/>
  <c r="AD24" i="62"/>
  <c r="Y24" i="62"/>
  <c r="T24" i="62"/>
  <c r="O24" i="62"/>
  <c r="J24" i="62"/>
  <c r="E24" i="62"/>
  <c r="AI23" i="62"/>
  <c r="AB23" i="62"/>
  <c r="AD23" i="62" s="1"/>
  <c r="W23" i="62"/>
  <c r="Y23" i="62" s="1"/>
  <c r="R23" i="62"/>
  <c r="T23" i="62" s="1"/>
  <c r="M23" i="62"/>
  <c r="O23" i="62" s="1"/>
  <c r="J23" i="62"/>
  <c r="E23" i="62"/>
  <c r="AI22" i="62"/>
  <c r="AD22" i="62"/>
  <c r="Y22" i="62"/>
  <c r="T22" i="62"/>
  <c r="O22" i="62"/>
  <c r="J22" i="62"/>
  <c r="E22" i="62"/>
  <c r="AB14" i="62"/>
  <c r="W14" i="62"/>
  <c r="R14" i="62"/>
  <c r="M14" i="62"/>
  <c r="H14" i="62"/>
  <c r="AD13" i="62"/>
  <c r="AC13" i="62"/>
  <c r="AB13" i="62"/>
  <c r="D12" i="62"/>
  <c r="C12" i="62"/>
  <c r="AD11" i="62"/>
  <c r="AC11" i="62"/>
  <c r="AB11" i="62"/>
  <c r="E11" i="62"/>
  <c r="E10" i="62"/>
  <c r="E9" i="62"/>
  <c r="E8" i="62"/>
  <c r="C5" i="62"/>
  <c r="D18" i="62"/>
  <c r="E65" i="61"/>
  <c r="E63" i="61"/>
  <c r="E62" i="61"/>
  <c r="E61" i="61"/>
  <c r="E60" i="61"/>
  <c r="E59" i="61"/>
  <c r="E58" i="61"/>
  <c r="E57" i="61"/>
  <c r="E56" i="61"/>
  <c r="E55" i="61"/>
  <c r="E54" i="61"/>
  <c r="E53" i="61"/>
  <c r="E48" i="61"/>
  <c r="E46" i="61"/>
  <c r="E45" i="61"/>
  <c r="E44" i="61"/>
  <c r="E43" i="61"/>
  <c r="E42" i="61"/>
  <c r="E41" i="61"/>
  <c r="E40" i="61"/>
  <c r="AI35" i="61"/>
  <c r="AD35" i="61"/>
  <c r="Y35" i="61"/>
  <c r="T35" i="61"/>
  <c r="O35" i="61"/>
  <c r="J35" i="61"/>
  <c r="E35" i="61"/>
  <c r="AI33" i="61"/>
  <c r="AD33" i="61"/>
  <c r="Y33" i="61"/>
  <c r="T33" i="61"/>
  <c r="O33" i="61"/>
  <c r="J33" i="61"/>
  <c r="E33" i="61"/>
  <c r="AI32" i="61"/>
  <c r="AD32" i="61"/>
  <c r="Y32" i="61"/>
  <c r="T32" i="61"/>
  <c r="O32" i="61"/>
  <c r="J32" i="61"/>
  <c r="E32" i="61"/>
  <c r="AI31" i="61"/>
  <c r="AD31" i="61"/>
  <c r="Y31" i="61"/>
  <c r="T31" i="61"/>
  <c r="O31" i="61"/>
  <c r="J31" i="61"/>
  <c r="E31" i="61"/>
  <c r="AI30" i="61"/>
  <c r="AD30" i="61"/>
  <c r="Y30" i="61"/>
  <c r="T30" i="61"/>
  <c r="O30" i="61"/>
  <c r="J30" i="61"/>
  <c r="E30" i="61"/>
  <c r="AI29" i="61"/>
  <c r="AD29" i="61"/>
  <c r="Y29" i="61"/>
  <c r="T29" i="61"/>
  <c r="O29" i="61"/>
  <c r="J29" i="61"/>
  <c r="E29" i="61"/>
  <c r="AI28" i="61"/>
  <c r="AD28" i="61"/>
  <c r="Y28" i="61"/>
  <c r="T28" i="61"/>
  <c r="O28" i="61"/>
  <c r="J28" i="61"/>
  <c r="E28" i="61"/>
  <c r="AI27" i="61"/>
  <c r="AD27" i="61"/>
  <c r="Y27" i="61"/>
  <c r="T27" i="61"/>
  <c r="O27" i="61"/>
  <c r="J27" i="61"/>
  <c r="E27" i="61"/>
  <c r="AI26" i="61"/>
  <c r="AD26" i="61"/>
  <c r="Y26" i="61"/>
  <c r="T26" i="61"/>
  <c r="O26" i="61"/>
  <c r="J26" i="61"/>
  <c r="E26" i="61"/>
  <c r="AI25" i="61"/>
  <c r="AD25" i="61"/>
  <c r="Y25" i="61"/>
  <c r="T25" i="61"/>
  <c r="O25" i="61"/>
  <c r="J25" i="61"/>
  <c r="E25" i="61"/>
  <c r="AI24" i="61"/>
  <c r="AD24" i="61"/>
  <c r="Y24" i="61"/>
  <c r="T24" i="61"/>
  <c r="O24" i="61"/>
  <c r="J24" i="61"/>
  <c r="E24" i="61"/>
  <c r="AI23" i="61"/>
  <c r="AB23" i="61"/>
  <c r="AD23" i="61" s="1"/>
  <c r="W23" i="61"/>
  <c r="Y23" i="61" s="1"/>
  <c r="R23" i="61"/>
  <c r="T23" i="61" s="1"/>
  <c r="M23" i="61"/>
  <c r="O23" i="61" s="1"/>
  <c r="J23" i="61"/>
  <c r="E23" i="61"/>
  <c r="AI22" i="61"/>
  <c r="AD22" i="61"/>
  <c r="Y22" i="61"/>
  <c r="T22" i="61"/>
  <c r="O22" i="61"/>
  <c r="J22" i="61"/>
  <c r="E22" i="61"/>
  <c r="AB14" i="61"/>
  <c r="W14" i="61"/>
  <c r="R14" i="61"/>
  <c r="M14" i="61"/>
  <c r="H14" i="61"/>
  <c r="AD13" i="61"/>
  <c r="AC13" i="61"/>
  <c r="AB13" i="61"/>
  <c r="D12" i="61"/>
  <c r="C12" i="61"/>
  <c r="AD11" i="61"/>
  <c r="AC11" i="61"/>
  <c r="AB11" i="61"/>
  <c r="E11" i="61"/>
  <c r="E10" i="61"/>
  <c r="E9" i="61"/>
  <c r="E8" i="61"/>
  <c r="C5" i="61"/>
  <c r="D18" i="61"/>
  <c r="E65" i="60"/>
  <c r="E63" i="60"/>
  <c r="E62" i="60"/>
  <c r="E61" i="60"/>
  <c r="E60" i="60"/>
  <c r="E59" i="60"/>
  <c r="E58" i="60"/>
  <c r="E57" i="60"/>
  <c r="E56" i="60"/>
  <c r="E55" i="60"/>
  <c r="E54" i="60"/>
  <c r="E53" i="60"/>
  <c r="E48" i="60"/>
  <c r="E46" i="60"/>
  <c r="E45" i="60"/>
  <c r="E44" i="60"/>
  <c r="E43" i="60"/>
  <c r="E42" i="60"/>
  <c r="E41" i="60"/>
  <c r="E40" i="60"/>
  <c r="AI35" i="60"/>
  <c r="AD35" i="60"/>
  <c r="Y35" i="60"/>
  <c r="T35" i="60"/>
  <c r="O35" i="60"/>
  <c r="J35" i="60"/>
  <c r="E35" i="60"/>
  <c r="AI33" i="60"/>
  <c r="AD33" i="60"/>
  <c r="Y33" i="60"/>
  <c r="T33" i="60"/>
  <c r="O33" i="60"/>
  <c r="J33" i="60"/>
  <c r="E33" i="60"/>
  <c r="AI32" i="60"/>
  <c r="AD32" i="60"/>
  <c r="Y32" i="60"/>
  <c r="T32" i="60"/>
  <c r="O32" i="60"/>
  <c r="J32" i="60"/>
  <c r="E32" i="60"/>
  <c r="AI31" i="60"/>
  <c r="AD31" i="60"/>
  <c r="Y31" i="60"/>
  <c r="T31" i="60"/>
  <c r="O31" i="60"/>
  <c r="J31" i="60"/>
  <c r="E31" i="60"/>
  <c r="AI30" i="60"/>
  <c r="AD30" i="60"/>
  <c r="Y30" i="60"/>
  <c r="T30" i="60"/>
  <c r="O30" i="60"/>
  <c r="J30" i="60"/>
  <c r="E30" i="60"/>
  <c r="AI29" i="60"/>
  <c r="AD29" i="60"/>
  <c r="Y29" i="60"/>
  <c r="T29" i="60"/>
  <c r="O29" i="60"/>
  <c r="J29" i="60"/>
  <c r="E29" i="60"/>
  <c r="AI28" i="60"/>
  <c r="AD28" i="60"/>
  <c r="Y28" i="60"/>
  <c r="T28" i="60"/>
  <c r="O28" i="60"/>
  <c r="J28" i="60"/>
  <c r="E28" i="60"/>
  <c r="AI27" i="60"/>
  <c r="AD27" i="60"/>
  <c r="Y27" i="60"/>
  <c r="T27" i="60"/>
  <c r="O27" i="60"/>
  <c r="J27" i="60"/>
  <c r="E27" i="60"/>
  <c r="AI26" i="60"/>
  <c r="AD26" i="60"/>
  <c r="Y26" i="60"/>
  <c r="T26" i="60"/>
  <c r="O26" i="60"/>
  <c r="J26" i="60"/>
  <c r="E26" i="60"/>
  <c r="AI25" i="60"/>
  <c r="AD25" i="60"/>
  <c r="Y25" i="60"/>
  <c r="T25" i="60"/>
  <c r="O25" i="60"/>
  <c r="J25" i="60"/>
  <c r="E25" i="60"/>
  <c r="AI24" i="60"/>
  <c r="AD24" i="60"/>
  <c r="Y24" i="60"/>
  <c r="T24" i="60"/>
  <c r="O24" i="60"/>
  <c r="J24" i="60"/>
  <c r="E24" i="60"/>
  <c r="AI23" i="60"/>
  <c r="AB23" i="60"/>
  <c r="AD23" i="60" s="1"/>
  <c r="W23" i="60"/>
  <c r="Y23" i="60" s="1"/>
  <c r="R23" i="60"/>
  <c r="T23" i="60" s="1"/>
  <c r="O23" i="60"/>
  <c r="J23" i="60"/>
  <c r="E23" i="60"/>
  <c r="AI22" i="60"/>
  <c r="AD22" i="60"/>
  <c r="Y22" i="60"/>
  <c r="T22" i="60"/>
  <c r="O22" i="60"/>
  <c r="J22" i="60"/>
  <c r="E22" i="60"/>
  <c r="AB14" i="60"/>
  <c r="W14" i="60"/>
  <c r="R14" i="60"/>
  <c r="M14" i="60"/>
  <c r="Z28" i="1" s="1"/>
  <c r="H14" i="60"/>
  <c r="AD13" i="60"/>
  <c r="AC13" i="60"/>
  <c r="AB13" i="60"/>
  <c r="D12" i="60"/>
  <c r="C12" i="60"/>
  <c r="AD11" i="60"/>
  <c r="AC11" i="60"/>
  <c r="AB11" i="60"/>
  <c r="E11" i="60"/>
  <c r="E10" i="60"/>
  <c r="E9" i="60"/>
  <c r="E8" i="60"/>
  <c r="C5" i="60"/>
  <c r="D18" i="60"/>
  <c r="E65" i="59"/>
  <c r="E63" i="59"/>
  <c r="E62" i="59"/>
  <c r="E61" i="59"/>
  <c r="E60" i="59"/>
  <c r="E59" i="59"/>
  <c r="E58" i="59"/>
  <c r="E57" i="59"/>
  <c r="E56" i="59"/>
  <c r="E55" i="59"/>
  <c r="E54" i="59"/>
  <c r="E53" i="59"/>
  <c r="E48" i="59"/>
  <c r="E46" i="59"/>
  <c r="E45" i="59"/>
  <c r="E44" i="59"/>
  <c r="E43" i="59"/>
  <c r="E42" i="59"/>
  <c r="E41" i="59"/>
  <c r="E40" i="59"/>
  <c r="AI35" i="59"/>
  <c r="AD35" i="59"/>
  <c r="Y35" i="59"/>
  <c r="T35" i="59"/>
  <c r="O35" i="59"/>
  <c r="E35" i="59"/>
  <c r="AI33" i="59"/>
  <c r="AD33" i="59"/>
  <c r="Y33" i="59"/>
  <c r="T33" i="59"/>
  <c r="O33" i="59"/>
  <c r="E33" i="59"/>
  <c r="AI32" i="59"/>
  <c r="AD32" i="59"/>
  <c r="Y32" i="59"/>
  <c r="T32" i="59"/>
  <c r="O32" i="59"/>
  <c r="AI31" i="59"/>
  <c r="AD31" i="59"/>
  <c r="Y31" i="59"/>
  <c r="T31" i="59"/>
  <c r="O31" i="59"/>
  <c r="AI30" i="59"/>
  <c r="AD30" i="59"/>
  <c r="Y30" i="59"/>
  <c r="T30" i="59"/>
  <c r="O30" i="59"/>
  <c r="AI29" i="59"/>
  <c r="AD29" i="59"/>
  <c r="Y29" i="59"/>
  <c r="T29" i="59"/>
  <c r="O29" i="59"/>
  <c r="AI28" i="59"/>
  <c r="AD28" i="59"/>
  <c r="Y28" i="59"/>
  <c r="T28" i="59"/>
  <c r="O28" i="59"/>
  <c r="AI27" i="59"/>
  <c r="AD27" i="59"/>
  <c r="Y27" i="59"/>
  <c r="T27" i="59"/>
  <c r="O27" i="59"/>
  <c r="AI26" i="59"/>
  <c r="AD26" i="59"/>
  <c r="Y26" i="59"/>
  <c r="T26" i="59"/>
  <c r="O26" i="59"/>
  <c r="AI25" i="59"/>
  <c r="AD25" i="59"/>
  <c r="Y25" i="59"/>
  <c r="T25" i="59"/>
  <c r="O25" i="59"/>
  <c r="E25" i="59"/>
  <c r="AI24" i="59"/>
  <c r="AD24" i="59"/>
  <c r="Y24" i="59"/>
  <c r="T24" i="59"/>
  <c r="O24" i="59"/>
  <c r="AI23" i="59"/>
  <c r="AB23" i="59"/>
  <c r="AD23" i="59" s="1"/>
  <c r="W23" i="59"/>
  <c r="Y23" i="59" s="1"/>
  <c r="R23" i="59"/>
  <c r="T23" i="59" s="1"/>
  <c r="M23" i="59"/>
  <c r="O23" i="59" s="1"/>
  <c r="AI22" i="59"/>
  <c r="AD22" i="59"/>
  <c r="Y22" i="59"/>
  <c r="T22" i="59"/>
  <c r="O22" i="59"/>
  <c r="E22" i="59"/>
  <c r="AB14" i="59"/>
  <c r="W14" i="59"/>
  <c r="R14" i="59"/>
  <c r="M14" i="59"/>
  <c r="AD13" i="59"/>
  <c r="AC13" i="59"/>
  <c r="AB13" i="59"/>
  <c r="D12" i="59"/>
  <c r="C12" i="59"/>
  <c r="AD11" i="59"/>
  <c r="AC11" i="59"/>
  <c r="AB11" i="59"/>
  <c r="E11" i="59"/>
  <c r="E10" i="59"/>
  <c r="E9" i="59"/>
  <c r="E8" i="59"/>
  <c r="C5" i="59"/>
  <c r="D18" i="59"/>
  <c r="E65" i="58"/>
  <c r="E63" i="58"/>
  <c r="E62" i="58"/>
  <c r="E61" i="58"/>
  <c r="E60" i="58"/>
  <c r="E59" i="58"/>
  <c r="E58" i="58"/>
  <c r="E57" i="58"/>
  <c r="E56" i="58"/>
  <c r="E55" i="58"/>
  <c r="E54" i="58"/>
  <c r="E53" i="58"/>
  <c r="E48" i="58"/>
  <c r="E46" i="58"/>
  <c r="E45" i="58"/>
  <c r="E44" i="58"/>
  <c r="E43" i="58"/>
  <c r="E42" i="58"/>
  <c r="E41" i="58"/>
  <c r="E40" i="58"/>
  <c r="AI35" i="58"/>
  <c r="AD35" i="58"/>
  <c r="Y35" i="58"/>
  <c r="T35" i="58"/>
  <c r="O35" i="58"/>
  <c r="J35" i="58"/>
  <c r="E35" i="58"/>
  <c r="AI33" i="58"/>
  <c r="AD33" i="58"/>
  <c r="Y33" i="58"/>
  <c r="T33" i="58"/>
  <c r="O33" i="58"/>
  <c r="J33" i="58"/>
  <c r="E33" i="58"/>
  <c r="AI32" i="58"/>
  <c r="AD32" i="58"/>
  <c r="Y32" i="58"/>
  <c r="T32" i="58"/>
  <c r="O32" i="58"/>
  <c r="J32" i="58"/>
  <c r="E32" i="58"/>
  <c r="AI31" i="58"/>
  <c r="AD31" i="58"/>
  <c r="Y31" i="58"/>
  <c r="T31" i="58"/>
  <c r="O31" i="58"/>
  <c r="J31" i="58"/>
  <c r="E31" i="58"/>
  <c r="AI30" i="58"/>
  <c r="AD30" i="58"/>
  <c r="Y30" i="58"/>
  <c r="T30" i="58"/>
  <c r="O30" i="58"/>
  <c r="J30" i="58"/>
  <c r="E30" i="58"/>
  <c r="AI29" i="58"/>
  <c r="AD29" i="58"/>
  <c r="Y29" i="58"/>
  <c r="T29" i="58"/>
  <c r="O29" i="58"/>
  <c r="J29" i="58"/>
  <c r="E29" i="58"/>
  <c r="AI28" i="58"/>
  <c r="AD28" i="58"/>
  <c r="Y28" i="58"/>
  <c r="T28" i="58"/>
  <c r="O28" i="58"/>
  <c r="J28" i="58"/>
  <c r="E28" i="58"/>
  <c r="AI27" i="58"/>
  <c r="AD27" i="58"/>
  <c r="Y27" i="58"/>
  <c r="T27" i="58"/>
  <c r="O27" i="58"/>
  <c r="J27" i="58"/>
  <c r="E27" i="58"/>
  <c r="AI26" i="58"/>
  <c r="AD26" i="58"/>
  <c r="Y26" i="58"/>
  <c r="T26" i="58"/>
  <c r="O26" i="58"/>
  <c r="J26" i="58"/>
  <c r="E26" i="58"/>
  <c r="AI25" i="58"/>
  <c r="AD25" i="58"/>
  <c r="Y25" i="58"/>
  <c r="T25" i="58"/>
  <c r="O25" i="58"/>
  <c r="J25" i="58"/>
  <c r="E25" i="58"/>
  <c r="AI24" i="58"/>
  <c r="AD24" i="58"/>
  <c r="Y24" i="58"/>
  <c r="T24" i="58"/>
  <c r="O24" i="58"/>
  <c r="J24" i="58"/>
  <c r="E24" i="58"/>
  <c r="AI23" i="58"/>
  <c r="AB23" i="58"/>
  <c r="AD23" i="58" s="1"/>
  <c r="W23" i="58"/>
  <c r="Y23" i="58" s="1"/>
  <c r="R23" i="58"/>
  <c r="T23" i="58" s="1"/>
  <c r="M23" i="58"/>
  <c r="O23" i="58" s="1"/>
  <c r="J23" i="58"/>
  <c r="E23" i="58"/>
  <c r="AI22" i="58"/>
  <c r="AD22" i="58"/>
  <c r="Y22" i="58"/>
  <c r="T22" i="58"/>
  <c r="O22" i="58"/>
  <c r="J22" i="58"/>
  <c r="E22" i="58"/>
  <c r="AB14" i="58"/>
  <c r="W14" i="58"/>
  <c r="R14" i="58"/>
  <c r="M14" i="58"/>
  <c r="H14" i="58"/>
  <c r="AD13" i="58"/>
  <c r="AC13" i="58"/>
  <c r="AB13" i="58"/>
  <c r="D12" i="58"/>
  <c r="C12" i="58"/>
  <c r="AD11" i="58"/>
  <c r="AC11" i="58"/>
  <c r="AB11" i="58"/>
  <c r="E11" i="58"/>
  <c r="E10" i="58"/>
  <c r="E9" i="58"/>
  <c r="E8" i="58"/>
  <c r="C5" i="58"/>
  <c r="D18" i="58"/>
  <c r="E65" i="57"/>
  <c r="E63" i="57"/>
  <c r="E62" i="57"/>
  <c r="E61" i="57"/>
  <c r="E60" i="57"/>
  <c r="E59" i="57"/>
  <c r="E58" i="57"/>
  <c r="E56" i="57"/>
  <c r="E55" i="57"/>
  <c r="E54" i="57"/>
  <c r="E53" i="57"/>
  <c r="E48" i="57"/>
  <c r="E46" i="57"/>
  <c r="E45" i="57"/>
  <c r="E44" i="57"/>
  <c r="E43" i="57"/>
  <c r="E42" i="57"/>
  <c r="E41" i="57"/>
  <c r="E40" i="57"/>
  <c r="AI35" i="57"/>
  <c r="AD35" i="57"/>
  <c r="Y35" i="57"/>
  <c r="T35" i="57"/>
  <c r="O35" i="57"/>
  <c r="J35" i="57"/>
  <c r="E35" i="57"/>
  <c r="AI33" i="57"/>
  <c r="AD33" i="57"/>
  <c r="Y33" i="57"/>
  <c r="T33" i="57"/>
  <c r="O33" i="57"/>
  <c r="J33" i="57"/>
  <c r="E33" i="57"/>
  <c r="AI32" i="57"/>
  <c r="AD32" i="57"/>
  <c r="Y32" i="57"/>
  <c r="T32" i="57"/>
  <c r="O32" i="57"/>
  <c r="J32" i="57"/>
  <c r="E32" i="57"/>
  <c r="AI31" i="57"/>
  <c r="AD31" i="57"/>
  <c r="Y31" i="57"/>
  <c r="T31" i="57"/>
  <c r="O31" i="57"/>
  <c r="J31" i="57"/>
  <c r="E31" i="57"/>
  <c r="AI30" i="57"/>
  <c r="AD30" i="57"/>
  <c r="Y30" i="57"/>
  <c r="T30" i="57"/>
  <c r="O30" i="57"/>
  <c r="J30" i="57"/>
  <c r="E30" i="57"/>
  <c r="AI29" i="57"/>
  <c r="AD29" i="57"/>
  <c r="Y29" i="57"/>
  <c r="T29" i="57"/>
  <c r="O29" i="57"/>
  <c r="J29" i="57"/>
  <c r="E29" i="57"/>
  <c r="AI28" i="57"/>
  <c r="AD28" i="57"/>
  <c r="Y28" i="57"/>
  <c r="T28" i="57"/>
  <c r="O28" i="57"/>
  <c r="J28" i="57"/>
  <c r="E28" i="57"/>
  <c r="AI27" i="57"/>
  <c r="AD27" i="57"/>
  <c r="Y27" i="57"/>
  <c r="T27" i="57"/>
  <c r="O27" i="57"/>
  <c r="J27" i="57"/>
  <c r="E27" i="57"/>
  <c r="AI26" i="57"/>
  <c r="AD26" i="57"/>
  <c r="Y26" i="57"/>
  <c r="T26" i="57"/>
  <c r="O26" i="57"/>
  <c r="J26" i="57"/>
  <c r="E26" i="57"/>
  <c r="AI25" i="57"/>
  <c r="AD25" i="57"/>
  <c r="Y25" i="57"/>
  <c r="T25" i="57"/>
  <c r="O25" i="57"/>
  <c r="J25" i="57"/>
  <c r="E25" i="57"/>
  <c r="AI24" i="57"/>
  <c r="AD24" i="57"/>
  <c r="Y24" i="57"/>
  <c r="T24" i="57"/>
  <c r="O24" i="57"/>
  <c r="J24" i="57"/>
  <c r="E24" i="57"/>
  <c r="AI23" i="57"/>
  <c r="AB23" i="57"/>
  <c r="AD23" i="57" s="1"/>
  <c r="W23" i="57"/>
  <c r="Y23" i="57" s="1"/>
  <c r="R23" i="57"/>
  <c r="T23" i="57" s="1"/>
  <c r="O23" i="57"/>
  <c r="J23" i="57"/>
  <c r="E23" i="57"/>
  <c r="AI22" i="57"/>
  <c r="AD22" i="57"/>
  <c r="Y22" i="57"/>
  <c r="T22" i="57"/>
  <c r="O22" i="57"/>
  <c r="J22" i="57"/>
  <c r="E22" i="57"/>
  <c r="AB14" i="57"/>
  <c r="W14" i="57"/>
  <c r="R14" i="57"/>
  <c r="M14" i="57"/>
  <c r="Z25" i="1" s="1"/>
  <c r="H14" i="57"/>
  <c r="AD13" i="57"/>
  <c r="AC13" i="57"/>
  <c r="AB13" i="57"/>
  <c r="D12" i="57"/>
  <c r="C12" i="57"/>
  <c r="AD11" i="57"/>
  <c r="AC11" i="57"/>
  <c r="AB11" i="57"/>
  <c r="E11" i="57"/>
  <c r="E10" i="57"/>
  <c r="E9" i="57"/>
  <c r="E8" i="57"/>
  <c r="C5" i="57"/>
  <c r="D18" i="57"/>
  <c r="E65" i="56"/>
  <c r="E63" i="56"/>
  <c r="E62" i="56"/>
  <c r="E61" i="56"/>
  <c r="E60" i="56"/>
  <c r="E59" i="56"/>
  <c r="E58" i="56"/>
  <c r="E57" i="56"/>
  <c r="E56" i="56"/>
  <c r="E55" i="56"/>
  <c r="E54" i="56"/>
  <c r="E53" i="56"/>
  <c r="E48" i="56"/>
  <c r="E46" i="56"/>
  <c r="E45" i="56"/>
  <c r="E44" i="56"/>
  <c r="E43" i="56"/>
  <c r="E42" i="56"/>
  <c r="E41" i="56"/>
  <c r="E40" i="56"/>
  <c r="AI35" i="56"/>
  <c r="AD35" i="56"/>
  <c r="Y35" i="56"/>
  <c r="T35" i="56"/>
  <c r="O35" i="56"/>
  <c r="J35" i="56"/>
  <c r="E35" i="56"/>
  <c r="AI33" i="56"/>
  <c r="AD33" i="56"/>
  <c r="Y33" i="56"/>
  <c r="T33" i="56"/>
  <c r="O33" i="56"/>
  <c r="J33" i="56"/>
  <c r="E33" i="56"/>
  <c r="AI32" i="56"/>
  <c r="AD32" i="56"/>
  <c r="Y32" i="56"/>
  <c r="T32" i="56"/>
  <c r="O32" i="56"/>
  <c r="J32" i="56"/>
  <c r="E32" i="56"/>
  <c r="AI31" i="56"/>
  <c r="AD31" i="56"/>
  <c r="Y31" i="56"/>
  <c r="T31" i="56"/>
  <c r="O31" i="56"/>
  <c r="J31" i="56"/>
  <c r="E31" i="56"/>
  <c r="AI30" i="56"/>
  <c r="AD30" i="56"/>
  <c r="Y30" i="56"/>
  <c r="T30" i="56"/>
  <c r="O30" i="56"/>
  <c r="J30" i="56"/>
  <c r="E30" i="56"/>
  <c r="AI29" i="56"/>
  <c r="AD29" i="56"/>
  <c r="Y29" i="56"/>
  <c r="T29" i="56"/>
  <c r="O29" i="56"/>
  <c r="J29" i="56"/>
  <c r="E29" i="56"/>
  <c r="AI28" i="56"/>
  <c r="AD28" i="56"/>
  <c r="Y28" i="56"/>
  <c r="T28" i="56"/>
  <c r="O28" i="56"/>
  <c r="J28" i="56"/>
  <c r="E28" i="56"/>
  <c r="AI27" i="56"/>
  <c r="AD27" i="56"/>
  <c r="Y27" i="56"/>
  <c r="T27" i="56"/>
  <c r="O27" i="56"/>
  <c r="J27" i="56"/>
  <c r="E27" i="56"/>
  <c r="AI26" i="56"/>
  <c r="AD26" i="56"/>
  <c r="Y26" i="56"/>
  <c r="T26" i="56"/>
  <c r="O26" i="56"/>
  <c r="J26" i="56"/>
  <c r="E26" i="56"/>
  <c r="AI25" i="56"/>
  <c r="AD25" i="56"/>
  <c r="Y25" i="56"/>
  <c r="T25" i="56"/>
  <c r="O25" i="56"/>
  <c r="J25" i="56"/>
  <c r="E25" i="56"/>
  <c r="AI24" i="56"/>
  <c r="AD24" i="56"/>
  <c r="Y24" i="56"/>
  <c r="T24" i="56"/>
  <c r="O24" i="56"/>
  <c r="J24" i="56"/>
  <c r="E24" i="56"/>
  <c r="AI23" i="56"/>
  <c r="AB23" i="56"/>
  <c r="AD23" i="56" s="1"/>
  <c r="W23" i="56"/>
  <c r="Y23" i="56" s="1"/>
  <c r="R23" i="56"/>
  <c r="T23" i="56" s="1"/>
  <c r="M23" i="56"/>
  <c r="O23" i="56" s="1"/>
  <c r="J23" i="56"/>
  <c r="E23" i="56"/>
  <c r="AI22" i="56"/>
  <c r="AD22" i="56"/>
  <c r="Y22" i="56"/>
  <c r="T22" i="56"/>
  <c r="O22" i="56"/>
  <c r="J22" i="56"/>
  <c r="E22" i="56"/>
  <c r="AB14" i="56"/>
  <c r="W14" i="56"/>
  <c r="R14" i="56"/>
  <c r="M14" i="56"/>
  <c r="H14" i="56"/>
  <c r="AD13" i="56"/>
  <c r="AC13" i="56"/>
  <c r="AB13" i="56"/>
  <c r="D12" i="56"/>
  <c r="C12" i="56"/>
  <c r="AD11" i="56"/>
  <c r="AC11" i="56"/>
  <c r="AB11" i="56"/>
  <c r="E11" i="56"/>
  <c r="E10" i="56"/>
  <c r="E9" i="56"/>
  <c r="E8" i="56"/>
  <c r="C5" i="56"/>
  <c r="D18" i="56"/>
  <c r="E67" i="55"/>
  <c r="E65" i="55"/>
  <c r="E64" i="55"/>
  <c r="E63" i="55"/>
  <c r="E62" i="55"/>
  <c r="E61" i="55"/>
  <c r="E60" i="55"/>
  <c r="E59" i="55"/>
  <c r="E58" i="55"/>
  <c r="E57" i="55"/>
  <c r="E56" i="55"/>
  <c r="E55" i="55"/>
  <c r="E50" i="55"/>
  <c r="E48" i="55"/>
  <c r="E47" i="55"/>
  <c r="E46" i="55"/>
  <c r="E45" i="55"/>
  <c r="E44" i="55"/>
  <c r="E43" i="55"/>
  <c r="E42" i="55"/>
  <c r="AI37" i="55"/>
  <c r="AD37" i="55"/>
  <c r="Y37" i="55"/>
  <c r="T37" i="55"/>
  <c r="O37" i="55"/>
  <c r="J37" i="55"/>
  <c r="E37" i="55"/>
  <c r="AI35" i="55"/>
  <c r="AD35" i="55"/>
  <c r="Y35" i="55"/>
  <c r="T35" i="55"/>
  <c r="O35" i="55"/>
  <c r="J35" i="55"/>
  <c r="E35" i="55"/>
  <c r="AI32" i="55"/>
  <c r="AD32" i="55"/>
  <c r="Y32" i="55"/>
  <c r="T32" i="55"/>
  <c r="O32" i="55"/>
  <c r="J32" i="55"/>
  <c r="E32" i="55"/>
  <c r="AI31" i="55"/>
  <c r="AD31" i="55"/>
  <c r="Y31" i="55"/>
  <c r="T31" i="55"/>
  <c r="O31" i="55"/>
  <c r="J31" i="55"/>
  <c r="AI30" i="55"/>
  <c r="AD30" i="55"/>
  <c r="Y30" i="55"/>
  <c r="T30" i="55"/>
  <c r="O30" i="55"/>
  <c r="J30" i="55"/>
  <c r="AI29" i="55"/>
  <c r="AD29" i="55"/>
  <c r="Y29" i="55"/>
  <c r="T29" i="55"/>
  <c r="O29" i="55"/>
  <c r="J29" i="55"/>
  <c r="AI28" i="55"/>
  <c r="AD28" i="55"/>
  <c r="Y28" i="55"/>
  <c r="T28" i="55"/>
  <c r="O28" i="55"/>
  <c r="J28" i="55"/>
  <c r="AI27" i="55"/>
  <c r="AD27" i="55"/>
  <c r="Y27" i="55"/>
  <c r="T27" i="55"/>
  <c r="O27" i="55"/>
  <c r="J27" i="55"/>
  <c r="AI26" i="55"/>
  <c r="AD26" i="55"/>
  <c r="Y26" i="55"/>
  <c r="T26" i="55"/>
  <c r="O26" i="55"/>
  <c r="J26" i="55"/>
  <c r="AI25" i="55"/>
  <c r="AD25" i="55"/>
  <c r="Y25" i="55"/>
  <c r="T25" i="55"/>
  <c r="O25" i="55"/>
  <c r="J25" i="55"/>
  <c r="AI24" i="55"/>
  <c r="AD24" i="55"/>
  <c r="Y24" i="55"/>
  <c r="T24" i="55"/>
  <c r="O24" i="55"/>
  <c r="J24" i="55"/>
  <c r="AI23" i="55"/>
  <c r="AD23" i="55"/>
  <c r="W23" i="55"/>
  <c r="Y23" i="55" s="1"/>
  <c r="R23" i="55"/>
  <c r="T23" i="55" s="1"/>
  <c r="M23" i="55"/>
  <c r="O23" i="55" s="1"/>
  <c r="J23" i="55"/>
  <c r="AI22" i="55"/>
  <c r="AD22" i="55"/>
  <c r="Y22" i="55"/>
  <c r="T22" i="55"/>
  <c r="O22" i="55"/>
  <c r="J22" i="55"/>
  <c r="AB14" i="55"/>
  <c r="W14" i="55"/>
  <c r="R14" i="55"/>
  <c r="M14" i="55"/>
  <c r="H14" i="55"/>
  <c r="AD13" i="55"/>
  <c r="AC13" i="55"/>
  <c r="AB13" i="55"/>
  <c r="D12" i="55"/>
  <c r="C12" i="55"/>
  <c r="AD11" i="55"/>
  <c r="AC11" i="55"/>
  <c r="AB11" i="55"/>
  <c r="E11" i="55"/>
  <c r="E10" i="55"/>
  <c r="E9" i="55"/>
  <c r="E8" i="55"/>
  <c r="C5" i="55"/>
  <c r="D18" i="55"/>
  <c r="E65" i="54"/>
  <c r="E63" i="54"/>
  <c r="E62" i="54"/>
  <c r="E61" i="54"/>
  <c r="E60" i="54"/>
  <c r="E59" i="54"/>
  <c r="E58" i="54"/>
  <c r="E57" i="54"/>
  <c r="E56" i="54"/>
  <c r="E55" i="54"/>
  <c r="E54" i="54"/>
  <c r="E53" i="54"/>
  <c r="E48" i="54"/>
  <c r="E46" i="54"/>
  <c r="E45" i="54"/>
  <c r="E44" i="54"/>
  <c r="E43" i="54"/>
  <c r="E42" i="54"/>
  <c r="E41" i="54"/>
  <c r="E40" i="54"/>
  <c r="AI35" i="54"/>
  <c r="AD35" i="54"/>
  <c r="Y35" i="54"/>
  <c r="T35" i="54"/>
  <c r="O35" i="54"/>
  <c r="J35" i="54"/>
  <c r="E35" i="54"/>
  <c r="AI33" i="54"/>
  <c r="AD33" i="54"/>
  <c r="Y33" i="54"/>
  <c r="T33" i="54"/>
  <c r="O33" i="54"/>
  <c r="J33" i="54"/>
  <c r="E33" i="54"/>
  <c r="AI32" i="54"/>
  <c r="AD32" i="54"/>
  <c r="Y32" i="54"/>
  <c r="T32" i="54"/>
  <c r="O32" i="54"/>
  <c r="J32" i="54"/>
  <c r="E32" i="54"/>
  <c r="AI31" i="54"/>
  <c r="AD31" i="54"/>
  <c r="Y31" i="54"/>
  <c r="T31" i="54"/>
  <c r="O31" i="54"/>
  <c r="J31" i="54"/>
  <c r="E31" i="54"/>
  <c r="AI30" i="54"/>
  <c r="AD30" i="54"/>
  <c r="Y30" i="54"/>
  <c r="T30" i="54"/>
  <c r="O30" i="54"/>
  <c r="J30" i="54"/>
  <c r="E30" i="54"/>
  <c r="AI29" i="54"/>
  <c r="AD29" i="54"/>
  <c r="Y29" i="54"/>
  <c r="T29" i="54"/>
  <c r="O29" i="54"/>
  <c r="J29" i="54"/>
  <c r="E29" i="54"/>
  <c r="AI28" i="54"/>
  <c r="AD28" i="54"/>
  <c r="Y28" i="54"/>
  <c r="T28" i="54"/>
  <c r="O28" i="54"/>
  <c r="J28" i="54"/>
  <c r="E28" i="54"/>
  <c r="AI27" i="54"/>
  <c r="AD27" i="54"/>
  <c r="Y27" i="54"/>
  <c r="T27" i="54"/>
  <c r="O27" i="54"/>
  <c r="J27" i="54"/>
  <c r="E27" i="54"/>
  <c r="AI26" i="54"/>
  <c r="AD26" i="54"/>
  <c r="Y26" i="54"/>
  <c r="T26" i="54"/>
  <c r="O26" i="54"/>
  <c r="J26" i="54"/>
  <c r="E26" i="54"/>
  <c r="AI25" i="54"/>
  <c r="AD25" i="54"/>
  <c r="Y25" i="54"/>
  <c r="T25" i="54"/>
  <c r="O25" i="54"/>
  <c r="J25" i="54"/>
  <c r="E25" i="54"/>
  <c r="AI24" i="54"/>
  <c r="AD24" i="54"/>
  <c r="Y24" i="54"/>
  <c r="T24" i="54"/>
  <c r="O24" i="54"/>
  <c r="J24" i="54"/>
  <c r="E24" i="54"/>
  <c r="AI23" i="54"/>
  <c r="AD23" i="54"/>
  <c r="W23" i="54"/>
  <c r="Y23" i="54" s="1"/>
  <c r="R23" i="54"/>
  <c r="T23" i="54" s="1"/>
  <c r="M23" i="54"/>
  <c r="O23" i="54" s="1"/>
  <c r="J23" i="54"/>
  <c r="AI22" i="54"/>
  <c r="AD22" i="54"/>
  <c r="Y22" i="54"/>
  <c r="T22" i="54"/>
  <c r="O22" i="54"/>
  <c r="J22" i="54"/>
  <c r="E22" i="54"/>
  <c r="AB14" i="54"/>
  <c r="W14" i="54"/>
  <c r="R14" i="54"/>
  <c r="M14" i="54"/>
  <c r="H14" i="54"/>
  <c r="AD13" i="54"/>
  <c r="AC13" i="54"/>
  <c r="AB13" i="54"/>
  <c r="D12" i="54"/>
  <c r="C12" i="54"/>
  <c r="AD11" i="54"/>
  <c r="AC11" i="54"/>
  <c r="AB11" i="54"/>
  <c r="E11" i="54"/>
  <c r="E10" i="54"/>
  <c r="E9" i="54"/>
  <c r="E8" i="54"/>
  <c r="D18" i="54"/>
  <c r="E65" i="53"/>
  <c r="E63" i="53"/>
  <c r="E62" i="53"/>
  <c r="E61" i="53"/>
  <c r="E60" i="53"/>
  <c r="E59" i="53"/>
  <c r="E58" i="53"/>
  <c r="E57" i="53"/>
  <c r="E56" i="53"/>
  <c r="E55" i="53"/>
  <c r="E54" i="53"/>
  <c r="E53" i="53"/>
  <c r="E48" i="53"/>
  <c r="E46" i="53"/>
  <c r="E45" i="53"/>
  <c r="E44" i="53"/>
  <c r="E43" i="53"/>
  <c r="E42" i="53"/>
  <c r="E41" i="53"/>
  <c r="E40" i="53"/>
  <c r="AI35" i="53"/>
  <c r="AD35" i="53"/>
  <c r="Y35" i="53"/>
  <c r="T35" i="53"/>
  <c r="O35" i="53"/>
  <c r="J35" i="53"/>
  <c r="E35" i="53"/>
  <c r="AI33" i="53"/>
  <c r="AD33" i="53"/>
  <c r="Y33" i="53"/>
  <c r="T33" i="53"/>
  <c r="O33" i="53"/>
  <c r="J33" i="53"/>
  <c r="E33" i="53"/>
  <c r="AI32" i="53"/>
  <c r="AD32" i="53"/>
  <c r="Y32" i="53"/>
  <c r="T32" i="53"/>
  <c r="O32" i="53"/>
  <c r="J32" i="53"/>
  <c r="E32" i="53"/>
  <c r="AI31" i="53"/>
  <c r="AD31" i="53"/>
  <c r="Y31" i="53"/>
  <c r="T31" i="53"/>
  <c r="O31" i="53"/>
  <c r="J31" i="53"/>
  <c r="E31" i="53"/>
  <c r="AI30" i="53"/>
  <c r="AD30" i="53"/>
  <c r="Y30" i="53"/>
  <c r="T30" i="53"/>
  <c r="O30" i="53"/>
  <c r="J30" i="53"/>
  <c r="E30" i="53"/>
  <c r="AI29" i="53"/>
  <c r="AD29" i="53"/>
  <c r="Y29" i="53"/>
  <c r="T29" i="53"/>
  <c r="O29" i="53"/>
  <c r="J29" i="53"/>
  <c r="E29" i="53"/>
  <c r="AI28" i="53"/>
  <c r="AD28" i="53"/>
  <c r="Y28" i="53"/>
  <c r="T28" i="53"/>
  <c r="O28" i="53"/>
  <c r="J28" i="53"/>
  <c r="E28" i="53"/>
  <c r="AI27" i="53"/>
  <c r="AD27" i="53"/>
  <c r="Y27" i="53"/>
  <c r="T27" i="53"/>
  <c r="O27" i="53"/>
  <c r="J27" i="53"/>
  <c r="E27" i="53"/>
  <c r="AI26" i="53"/>
  <c r="AD26" i="53"/>
  <c r="Y26" i="53"/>
  <c r="T26" i="53"/>
  <c r="O26" i="53"/>
  <c r="J26" i="53"/>
  <c r="E26" i="53"/>
  <c r="AI25" i="53"/>
  <c r="AD25" i="53"/>
  <c r="Y25" i="53"/>
  <c r="T25" i="53"/>
  <c r="O25" i="53"/>
  <c r="J25" i="53"/>
  <c r="E25" i="53"/>
  <c r="AI24" i="53"/>
  <c r="AD24" i="53"/>
  <c r="Y24" i="53"/>
  <c r="T24" i="53"/>
  <c r="O24" i="53"/>
  <c r="J24" i="53"/>
  <c r="E24" i="53"/>
  <c r="AI23" i="53"/>
  <c r="AD23" i="53"/>
  <c r="W23" i="53"/>
  <c r="Y23" i="53" s="1"/>
  <c r="R23" i="53"/>
  <c r="T23" i="53" s="1"/>
  <c r="M23" i="53"/>
  <c r="O23" i="53" s="1"/>
  <c r="J23" i="53"/>
  <c r="E23" i="53"/>
  <c r="AI22" i="53"/>
  <c r="AD22" i="53"/>
  <c r="Y22" i="53"/>
  <c r="T22" i="53"/>
  <c r="O22" i="53"/>
  <c r="J22" i="53"/>
  <c r="E22" i="53"/>
  <c r="AB14" i="53"/>
  <c r="W14" i="53"/>
  <c r="R14" i="53"/>
  <c r="M14" i="53"/>
  <c r="H14" i="53"/>
  <c r="AD13" i="53"/>
  <c r="AC13" i="53"/>
  <c r="AB13" i="53"/>
  <c r="D12" i="53"/>
  <c r="C12" i="53"/>
  <c r="E12" i="53" s="1"/>
  <c r="C14" i="53" s="1"/>
  <c r="T21" i="1" s="1"/>
  <c r="F18" i="71" s="1"/>
  <c r="G18" i="71" s="1"/>
  <c r="AD11" i="53"/>
  <c r="AC11" i="53"/>
  <c r="AB11" i="53"/>
  <c r="E11" i="53"/>
  <c r="E10" i="53"/>
  <c r="E9" i="53"/>
  <c r="E8" i="53"/>
  <c r="C5" i="53"/>
  <c r="D18" i="53"/>
  <c r="E65" i="52"/>
  <c r="E63" i="52"/>
  <c r="E62" i="52"/>
  <c r="E61" i="52"/>
  <c r="E60" i="52"/>
  <c r="E59" i="52"/>
  <c r="E58" i="52"/>
  <c r="E57" i="52"/>
  <c r="E56" i="52"/>
  <c r="E55" i="52"/>
  <c r="E54" i="52"/>
  <c r="E53" i="52"/>
  <c r="E48" i="52"/>
  <c r="E46" i="52"/>
  <c r="E45" i="52"/>
  <c r="E44" i="52"/>
  <c r="E43" i="52"/>
  <c r="E42" i="52"/>
  <c r="E41" i="52"/>
  <c r="E40" i="52"/>
  <c r="AI35" i="52"/>
  <c r="AD35" i="52"/>
  <c r="Y35" i="52"/>
  <c r="T35" i="52"/>
  <c r="O35" i="52"/>
  <c r="J35" i="52"/>
  <c r="E35" i="52"/>
  <c r="AI33" i="52"/>
  <c r="AD33" i="52"/>
  <c r="Y33" i="52"/>
  <c r="T33" i="52"/>
  <c r="O33" i="52"/>
  <c r="J33" i="52"/>
  <c r="E33" i="52"/>
  <c r="AI32" i="52"/>
  <c r="AD32" i="52"/>
  <c r="Y32" i="52"/>
  <c r="T32" i="52"/>
  <c r="O32" i="52"/>
  <c r="J32" i="52"/>
  <c r="E32" i="52"/>
  <c r="AI31" i="52"/>
  <c r="AD31" i="52"/>
  <c r="Y31" i="52"/>
  <c r="T31" i="52"/>
  <c r="O31" i="52"/>
  <c r="J31" i="52"/>
  <c r="AI30" i="52"/>
  <c r="AD30" i="52"/>
  <c r="Y30" i="52"/>
  <c r="T30" i="52"/>
  <c r="O30" i="52"/>
  <c r="J30" i="52"/>
  <c r="AI29" i="52"/>
  <c r="AD29" i="52"/>
  <c r="Y29" i="52"/>
  <c r="T29" i="52"/>
  <c r="O29" i="52"/>
  <c r="J29" i="52"/>
  <c r="AI28" i="52"/>
  <c r="AD28" i="52"/>
  <c r="Y28" i="52"/>
  <c r="T28" i="52"/>
  <c r="O28" i="52"/>
  <c r="J28" i="52"/>
  <c r="AD27" i="52"/>
  <c r="Y27" i="52"/>
  <c r="T27" i="52"/>
  <c r="O27" i="52"/>
  <c r="J27" i="52"/>
  <c r="AD26" i="52"/>
  <c r="Y26" i="52"/>
  <c r="T26" i="52"/>
  <c r="O26" i="52"/>
  <c r="J26" i="52"/>
  <c r="E26" i="52"/>
  <c r="AD25" i="52"/>
  <c r="Y25" i="52"/>
  <c r="T25" i="52"/>
  <c r="O25" i="52"/>
  <c r="J25" i="52"/>
  <c r="E25" i="52"/>
  <c r="AD24" i="52"/>
  <c r="Y24" i="52"/>
  <c r="T24" i="52"/>
  <c r="O24" i="52"/>
  <c r="J24" i="52"/>
  <c r="E24" i="52"/>
  <c r="AB23" i="52"/>
  <c r="AD23" i="52" s="1"/>
  <c r="W23" i="52"/>
  <c r="Y23" i="52" s="1"/>
  <c r="R23" i="52"/>
  <c r="T23" i="52" s="1"/>
  <c r="O23" i="52"/>
  <c r="J23" i="52"/>
  <c r="E23" i="52"/>
  <c r="AD22" i="52"/>
  <c r="Y22" i="52"/>
  <c r="T22" i="52"/>
  <c r="O22" i="52"/>
  <c r="J22" i="52"/>
  <c r="E22" i="52"/>
  <c r="AB14" i="52"/>
  <c r="W14" i="52"/>
  <c r="R14" i="52"/>
  <c r="M14" i="52"/>
  <c r="Z20" i="1" s="1"/>
  <c r="H14" i="52"/>
  <c r="AD13" i="52"/>
  <c r="AC13" i="52"/>
  <c r="AB13" i="52"/>
  <c r="D12" i="52"/>
  <c r="C12" i="52"/>
  <c r="AD11" i="52"/>
  <c r="AC11" i="52"/>
  <c r="AB11" i="52"/>
  <c r="E11" i="52"/>
  <c r="E10" i="52"/>
  <c r="E9" i="52"/>
  <c r="E8" i="52"/>
  <c r="C5" i="52"/>
  <c r="D18" i="52"/>
  <c r="E65" i="51"/>
  <c r="E63" i="51"/>
  <c r="E62" i="51"/>
  <c r="E61" i="51"/>
  <c r="E60" i="51"/>
  <c r="E59" i="51"/>
  <c r="E58" i="51"/>
  <c r="E57" i="51"/>
  <c r="E56" i="51"/>
  <c r="E55" i="51"/>
  <c r="E54" i="51"/>
  <c r="E53" i="51"/>
  <c r="E48" i="51"/>
  <c r="E46" i="51"/>
  <c r="E45" i="51"/>
  <c r="E44" i="51"/>
  <c r="E43" i="51"/>
  <c r="E42" i="51"/>
  <c r="E41" i="51"/>
  <c r="E40" i="51"/>
  <c r="AI35" i="51"/>
  <c r="AD35" i="51"/>
  <c r="Y35" i="51"/>
  <c r="T35" i="51"/>
  <c r="O35" i="51"/>
  <c r="J35" i="51"/>
  <c r="E35" i="51"/>
  <c r="AI33" i="51"/>
  <c r="AD33" i="51"/>
  <c r="Y33" i="51"/>
  <c r="T33" i="51"/>
  <c r="O33" i="51"/>
  <c r="J33" i="51"/>
  <c r="AI32" i="51"/>
  <c r="AD32" i="51"/>
  <c r="Y32" i="51"/>
  <c r="T32" i="51"/>
  <c r="O32" i="51"/>
  <c r="J32" i="51"/>
  <c r="AI31" i="51"/>
  <c r="AD31" i="51"/>
  <c r="Y31" i="51"/>
  <c r="T31" i="51"/>
  <c r="O31" i="51"/>
  <c r="J31" i="51"/>
  <c r="AI30" i="51"/>
  <c r="AD30" i="51"/>
  <c r="Y30" i="51"/>
  <c r="T30" i="51"/>
  <c r="O30" i="51"/>
  <c r="J30" i="51"/>
  <c r="AI29" i="51"/>
  <c r="AD29" i="51"/>
  <c r="Y29" i="51"/>
  <c r="T29" i="51"/>
  <c r="O29" i="51"/>
  <c r="J29" i="51"/>
  <c r="AI28" i="51"/>
  <c r="AD28" i="51"/>
  <c r="Y28" i="51"/>
  <c r="T28" i="51"/>
  <c r="O28" i="51"/>
  <c r="J28" i="51"/>
  <c r="AI27" i="51"/>
  <c r="AD27" i="51"/>
  <c r="Y27" i="51"/>
  <c r="T27" i="51"/>
  <c r="O27" i="51"/>
  <c r="J27" i="51"/>
  <c r="AI26" i="51"/>
  <c r="AD26" i="51"/>
  <c r="Y26" i="51"/>
  <c r="T26" i="51"/>
  <c r="O26" i="51"/>
  <c r="J26" i="51"/>
  <c r="AI25" i="51"/>
  <c r="AD25" i="51"/>
  <c r="Y25" i="51"/>
  <c r="T25" i="51"/>
  <c r="O25" i="51"/>
  <c r="J25" i="51"/>
  <c r="AI24" i="51"/>
  <c r="AD24" i="51"/>
  <c r="Y24" i="51"/>
  <c r="T24" i="51"/>
  <c r="O24" i="51"/>
  <c r="J24" i="51"/>
  <c r="AI23" i="51"/>
  <c r="AD23" i="51"/>
  <c r="W23" i="51"/>
  <c r="Y23" i="51" s="1"/>
  <c r="R23" i="51"/>
  <c r="T23" i="51" s="1"/>
  <c r="M23" i="51"/>
  <c r="O23" i="51" s="1"/>
  <c r="J23" i="51"/>
  <c r="AI22" i="51"/>
  <c r="AD22" i="51"/>
  <c r="Y22" i="51"/>
  <c r="T22" i="51"/>
  <c r="O22" i="51"/>
  <c r="J22" i="51"/>
  <c r="AB14" i="51"/>
  <c r="W14" i="51"/>
  <c r="R14" i="51"/>
  <c r="M14" i="51"/>
  <c r="H14" i="51"/>
  <c r="AD13" i="51"/>
  <c r="AC13" i="51"/>
  <c r="AB13" i="51"/>
  <c r="D12" i="51"/>
  <c r="C12" i="51"/>
  <c r="AD11" i="51"/>
  <c r="AC11" i="51"/>
  <c r="AB11" i="51"/>
  <c r="E11" i="51"/>
  <c r="E10" i="51"/>
  <c r="E9" i="51"/>
  <c r="E8" i="51"/>
  <c r="C5" i="51"/>
  <c r="D18" i="51"/>
  <c r="Y5" i="1"/>
  <c r="Y4" i="1"/>
  <c r="Z5" i="1"/>
  <c r="Z4" i="1"/>
  <c r="AB4" i="1"/>
  <c r="AB5" i="1"/>
  <c r="AC5" i="1"/>
  <c r="AC4" i="1"/>
  <c r="AE5" i="1"/>
  <c r="AE4" i="1"/>
  <c r="AF5" i="1"/>
  <c r="AF4" i="1"/>
  <c r="AH5" i="1"/>
  <c r="AH4" i="1"/>
  <c r="AI5" i="1"/>
  <c r="AI4" i="1"/>
  <c r="W5" i="1"/>
  <c r="W4" i="1"/>
  <c r="V5" i="1"/>
  <c r="V4" i="1"/>
  <c r="S5" i="1"/>
  <c r="Q5" i="1"/>
  <c r="N5" i="1"/>
  <c r="W37" i="45"/>
  <c r="D37" i="45"/>
  <c r="C37" i="45"/>
  <c r="W36" i="45"/>
  <c r="D36" i="45"/>
  <c r="C36" i="45"/>
  <c r="W35" i="45"/>
  <c r="D35" i="45"/>
  <c r="C35" i="45"/>
  <c r="W34" i="45"/>
  <c r="D34" i="45"/>
  <c r="C34" i="45"/>
  <c r="W33" i="45"/>
  <c r="D33" i="45"/>
  <c r="C33" i="45"/>
  <c r="W32" i="45"/>
  <c r="D32" i="45"/>
  <c r="C32" i="45"/>
  <c r="W31" i="45"/>
  <c r="D31" i="45"/>
  <c r="C31" i="45"/>
  <c r="W30" i="45"/>
  <c r="D30" i="45"/>
  <c r="C30" i="45"/>
  <c r="W29" i="45"/>
  <c r="D29" i="45"/>
  <c r="C29" i="45"/>
  <c r="W28" i="45"/>
  <c r="D28" i="45"/>
  <c r="C28" i="45"/>
  <c r="W27" i="45"/>
  <c r="D27" i="45"/>
  <c r="C27" i="45"/>
  <c r="W26" i="45"/>
  <c r="D26" i="45"/>
  <c r="C26" i="45"/>
  <c r="W25" i="45"/>
  <c r="D25" i="45"/>
  <c r="C25" i="45"/>
  <c r="W24" i="45"/>
  <c r="D24" i="45"/>
  <c r="C24" i="45"/>
  <c r="W23" i="45"/>
  <c r="D23" i="45"/>
  <c r="C23" i="45"/>
  <c r="AR33" i="1"/>
  <c r="AQ33" i="1"/>
  <c r="AS33" i="1" s="1"/>
  <c r="AL33" i="1"/>
  <c r="AX33" i="1" s="1"/>
  <c r="AZ33" i="1" s="1"/>
  <c r="AR32" i="1"/>
  <c r="AQ32" i="1"/>
  <c r="AS32" i="1" s="1"/>
  <c r="AL32" i="1"/>
  <c r="AX32" i="1" s="1"/>
  <c r="AZ32" i="1" s="1"/>
  <c r="AR31" i="1"/>
  <c r="AQ31" i="1"/>
  <c r="AS31" i="1" s="1"/>
  <c r="AL31" i="1"/>
  <c r="AX31" i="1" s="1"/>
  <c r="AZ31" i="1" s="1"/>
  <c r="AR30" i="1"/>
  <c r="AQ30" i="1"/>
  <c r="AS30" i="1" s="1"/>
  <c r="AL30" i="1"/>
  <c r="AX30" i="1" s="1"/>
  <c r="AZ30" i="1" s="1"/>
  <c r="AR29" i="1"/>
  <c r="AQ29" i="1"/>
  <c r="AS29" i="1" s="1"/>
  <c r="AL29" i="1"/>
  <c r="AX29" i="1" s="1"/>
  <c r="AZ29" i="1" s="1"/>
  <c r="AR28" i="1"/>
  <c r="AQ28" i="1"/>
  <c r="AS28" i="1" s="1"/>
  <c r="AR27" i="1"/>
  <c r="AQ27" i="1"/>
  <c r="AS27" i="1" s="1"/>
  <c r="AR26" i="1"/>
  <c r="AQ26" i="1"/>
  <c r="AS26" i="1" s="1"/>
  <c r="AR25" i="1"/>
  <c r="AQ25" i="1"/>
  <c r="AS25" i="1" s="1"/>
  <c r="AR24" i="1"/>
  <c r="AQ24" i="1"/>
  <c r="AS24" i="1" s="1"/>
  <c r="AL24" i="1"/>
  <c r="AX24" i="1" s="1"/>
  <c r="AZ24" i="1" s="1"/>
  <c r="AR23" i="1"/>
  <c r="AQ23" i="1"/>
  <c r="AS23" i="1" s="1"/>
  <c r="AR22" i="1"/>
  <c r="AQ22" i="1"/>
  <c r="AS22" i="1" s="1"/>
  <c r="AR21" i="1"/>
  <c r="AQ21" i="1"/>
  <c r="AS21" i="1" s="1"/>
  <c r="AR20" i="1"/>
  <c r="AQ20" i="1"/>
  <c r="AS20" i="1" s="1"/>
  <c r="AR19" i="1"/>
  <c r="AQ19" i="1"/>
  <c r="AS19" i="1" s="1"/>
  <c r="E12" i="65" l="1"/>
  <c r="C14" i="65" s="1"/>
  <c r="T33" i="1" s="1"/>
  <c r="AM33" i="1" s="1"/>
  <c r="T34" i="51"/>
  <c r="E47" i="60"/>
  <c r="E47" i="62"/>
  <c r="O34" i="57"/>
  <c r="O36" i="57" s="1"/>
  <c r="E12" i="59"/>
  <c r="C14" i="59" s="1"/>
  <c r="C17" i="59" s="1"/>
  <c r="C18" i="59" s="1"/>
  <c r="E12" i="54"/>
  <c r="C14" i="54" s="1"/>
  <c r="T22" i="1" s="1"/>
  <c r="AM21" i="1"/>
  <c r="C17" i="53"/>
  <c r="C18" i="53" s="1"/>
  <c r="E12" i="51"/>
  <c r="C14" i="51" s="1"/>
  <c r="T19" i="1" s="1"/>
  <c r="E34" i="52"/>
  <c r="E36" i="52" s="1"/>
  <c r="N20" i="1" s="1"/>
  <c r="E12" i="55"/>
  <c r="C14" i="55" s="1"/>
  <c r="T23" i="1" s="1"/>
  <c r="AI34" i="60"/>
  <c r="AD34" i="59"/>
  <c r="AD36" i="59" s="1"/>
  <c r="X31" i="45" s="1"/>
  <c r="AI36" i="53"/>
  <c r="AK21" i="1" s="1"/>
  <c r="T34" i="54"/>
  <c r="E64" i="54"/>
  <c r="E66" i="54" s="1"/>
  <c r="S22" i="1" s="1"/>
  <c r="AD36" i="55"/>
  <c r="AD34" i="56"/>
  <c r="AD36" i="56" s="1"/>
  <c r="X28" i="45" s="1"/>
  <c r="E64" i="56"/>
  <c r="E64" i="57"/>
  <c r="E66" i="57" s="1"/>
  <c r="S25" i="1" s="1"/>
  <c r="E34" i="64"/>
  <c r="E36" i="64" s="1"/>
  <c r="E12" i="52"/>
  <c r="C14" i="52" s="1"/>
  <c r="T20" i="1" s="1"/>
  <c r="T34" i="52"/>
  <c r="T36" i="52" s="1"/>
  <c r="R24" i="45" s="1"/>
  <c r="AI34" i="56"/>
  <c r="AI36" i="56" s="1"/>
  <c r="AI34" i="57"/>
  <c r="AI36" i="57" s="1"/>
  <c r="AK25" i="1" s="1"/>
  <c r="E47" i="59"/>
  <c r="E49" i="59" s="1"/>
  <c r="E34" i="65"/>
  <c r="E36" i="65" s="1"/>
  <c r="E12" i="56"/>
  <c r="C14" i="56" s="1"/>
  <c r="T24" i="1" s="1"/>
  <c r="AM24" i="1" s="1"/>
  <c r="AO24" i="1" s="1"/>
  <c r="E64" i="60"/>
  <c r="E66" i="60" s="1"/>
  <c r="S28" i="1" s="1"/>
  <c r="J34" i="62"/>
  <c r="J36" i="62" s="1"/>
  <c r="J34" i="52"/>
  <c r="J36" i="52" s="1"/>
  <c r="Y36" i="55"/>
  <c r="Y38" i="55" s="1"/>
  <c r="U27" i="45" s="1"/>
  <c r="E47" i="65"/>
  <c r="E49" i="65" s="1"/>
  <c r="Y34" i="52"/>
  <c r="E34" i="62"/>
  <c r="J34" i="63"/>
  <c r="J36" i="63" s="1"/>
  <c r="O34" i="64"/>
  <c r="J34" i="65"/>
  <c r="J36" i="65" s="1"/>
  <c r="E64" i="51"/>
  <c r="E66" i="51" s="1"/>
  <c r="S19" i="1" s="1"/>
  <c r="AD34" i="52"/>
  <c r="AD36" i="52" s="1"/>
  <c r="X24" i="45" s="1"/>
  <c r="AD34" i="53"/>
  <c r="AD36" i="53" s="1"/>
  <c r="X25" i="45" s="1"/>
  <c r="AI34" i="54"/>
  <c r="AI36" i="54" s="1"/>
  <c r="AK22" i="1" s="1"/>
  <c r="E47" i="58"/>
  <c r="E49" i="58" s="1"/>
  <c r="O34" i="63"/>
  <c r="O36" i="63" s="1"/>
  <c r="N35" i="45" s="1"/>
  <c r="O35" i="45" s="1"/>
  <c r="E12" i="64"/>
  <c r="C14" i="64" s="1"/>
  <c r="T32" i="1" s="1"/>
  <c r="AM32" i="1" s="1"/>
  <c r="T34" i="64"/>
  <c r="T36" i="64" s="1"/>
  <c r="R36" i="45" s="1"/>
  <c r="T34" i="57"/>
  <c r="T36" i="57" s="1"/>
  <c r="R29" i="45" s="1"/>
  <c r="AI34" i="61"/>
  <c r="AI36" i="61" s="1"/>
  <c r="J34" i="53"/>
  <c r="E49" i="55"/>
  <c r="E51" i="55" s="1"/>
  <c r="Q23" i="1" s="1"/>
  <c r="AI34" i="51"/>
  <c r="AI36" i="51" s="1"/>
  <c r="AK19" i="1" s="1"/>
  <c r="E64" i="53"/>
  <c r="E66" i="53" s="1"/>
  <c r="S21" i="1" s="1"/>
  <c r="E34" i="58"/>
  <c r="E12" i="62"/>
  <c r="C14" i="62" s="1"/>
  <c r="T30" i="1" s="1"/>
  <c r="AM30" i="1" s="1"/>
  <c r="E47" i="53"/>
  <c r="E49" i="53" s="1"/>
  <c r="E34" i="59"/>
  <c r="E36" i="59" s="1"/>
  <c r="O34" i="60"/>
  <c r="O36" i="60" s="1"/>
  <c r="Y34" i="62"/>
  <c r="Y36" i="62" s="1"/>
  <c r="U34" i="45" s="1"/>
  <c r="AD34" i="63"/>
  <c r="AI34" i="64"/>
  <c r="AI36" i="64" s="1"/>
  <c r="E12" i="57"/>
  <c r="C14" i="57" s="1"/>
  <c r="AM27" i="1"/>
  <c r="AN27" i="1" s="1"/>
  <c r="O34" i="54"/>
  <c r="J34" i="60"/>
  <c r="E64" i="64"/>
  <c r="E66" i="64" s="1"/>
  <c r="E36" i="55"/>
  <c r="E38" i="55" s="1"/>
  <c r="N23" i="1" s="1"/>
  <c r="E12" i="60"/>
  <c r="C14" i="60" s="1"/>
  <c r="T28" i="1" s="1"/>
  <c r="E12" i="61"/>
  <c r="C14" i="61" s="1"/>
  <c r="T29" i="1" s="1"/>
  <c r="AM29" i="1" s="1"/>
  <c r="AO29" i="1" s="1"/>
  <c r="E64" i="61"/>
  <c r="E66" i="61" s="1"/>
  <c r="C17" i="63"/>
  <c r="C18" i="63" s="1"/>
  <c r="AI34" i="63"/>
  <c r="AI36" i="63" s="1"/>
  <c r="E64" i="63"/>
  <c r="E66" i="63" s="1"/>
  <c r="Y34" i="58"/>
  <c r="AD34" i="60"/>
  <c r="E47" i="52"/>
  <c r="E49" i="52" s="1"/>
  <c r="Q20" i="1" s="1"/>
  <c r="T34" i="63"/>
  <c r="T36" i="63" s="1"/>
  <c r="R35" i="45" s="1"/>
  <c r="Y34" i="64"/>
  <c r="Y36" i="64" s="1"/>
  <c r="U36" i="45" s="1"/>
  <c r="T34" i="65"/>
  <c r="Y34" i="65"/>
  <c r="J36" i="55"/>
  <c r="J38" i="55" s="1"/>
  <c r="J34" i="56"/>
  <c r="J36" i="56" s="1"/>
  <c r="E12" i="58"/>
  <c r="C14" i="58" s="1"/>
  <c r="T26" i="1" s="1"/>
  <c r="T34" i="58"/>
  <c r="T36" i="58" s="1"/>
  <c r="R30" i="45" s="1"/>
  <c r="C17" i="62"/>
  <c r="C18" i="62" s="1"/>
  <c r="O34" i="53"/>
  <c r="O36" i="53" s="1"/>
  <c r="N25" i="45" s="1"/>
  <c r="O25" i="45" s="1"/>
  <c r="O34" i="51"/>
  <c r="O36" i="51" s="1"/>
  <c r="N23" i="45" s="1"/>
  <c r="O23" i="45" s="1"/>
  <c r="E34" i="51"/>
  <c r="E36" i="51" s="1"/>
  <c r="N19" i="1" s="1"/>
  <c r="Y34" i="51"/>
  <c r="Y36" i="51" s="1"/>
  <c r="U23" i="45" s="1"/>
  <c r="V23" i="45" s="1"/>
  <c r="E47" i="51"/>
  <c r="E49" i="51" s="1"/>
  <c r="Q19" i="1" s="1"/>
  <c r="T34" i="53"/>
  <c r="T36" i="53" s="1"/>
  <c r="R25" i="45" s="1"/>
  <c r="J36" i="53"/>
  <c r="Y34" i="59"/>
  <c r="Y36" i="59" s="1"/>
  <c r="U31" i="45" s="1"/>
  <c r="E49" i="60"/>
  <c r="T34" i="61"/>
  <c r="T36" i="61" s="1"/>
  <c r="R33" i="45" s="1"/>
  <c r="C17" i="65"/>
  <c r="C18" i="65" s="1"/>
  <c r="AD34" i="65"/>
  <c r="AD36" i="65" s="1"/>
  <c r="X37" i="45" s="1"/>
  <c r="J34" i="51"/>
  <c r="J36" i="51" s="1"/>
  <c r="AD34" i="51"/>
  <c r="AD36" i="51" s="1"/>
  <c r="X23" i="45" s="1"/>
  <c r="Y23" i="45" s="1"/>
  <c r="T36" i="51"/>
  <c r="R23" i="45" s="1"/>
  <c r="S23" i="45" s="1"/>
  <c r="O34" i="52"/>
  <c r="O36" i="52" s="1"/>
  <c r="AI34" i="52"/>
  <c r="AI36" i="52" s="1"/>
  <c r="AK20" i="1" s="1"/>
  <c r="Y36" i="52"/>
  <c r="U24" i="45" s="1"/>
  <c r="E64" i="52"/>
  <c r="E66" i="52" s="1"/>
  <c r="S20" i="1" s="1"/>
  <c r="E34" i="53"/>
  <c r="E36" i="53" s="1"/>
  <c r="N21" i="1" s="1"/>
  <c r="Y34" i="53"/>
  <c r="Y36" i="53" s="1"/>
  <c r="U25" i="45" s="1"/>
  <c r="C5" i="54"/>
  <c r="C17" i="54" s="1"/>
  <c r="C18" i="54" s="1"/>
  <c r="AD34" i="62"/>
  <c r="AD36" i="62" s="1"/>
  <c r="X34" i="45" s="1"/>
  <c r="O34" i="56"/>
  <c r="O36" i="56" s="1"/>
  <c r="N28" i="45" s="1"/>
  <c r="O28" i="45" s="1"/>
  <c r="O34" i="61"/>
  <c r="O36" i="61" s="1"/>
  <c r="N33" i="45" s="1"/>
  <c r="O33" i="45" s="1"/>
  <c r="E34" i="54"/>
  <c r="E36" i="54" s="1"/>
  <c r="N22" i="1" s="1"/>
  <c r="Y34" i="54"/>
  <c r="Y36" i="54" s="1"/>
  <c r="U26" i="45" s="1"/>
  <c r="O36" i="54"/>
  <c r="N26" i="45" s="1"/>
  <c r="O26" i="45" s="1"/>
  <c r="E47" i="54"/>
  <c r="E49" i="54" s="1"/>
  <c r="Q22" i="1" s="1"/>
  <c r="O36" i="55"/>
  <c r="O38" i="55" s="1"/>
  <c r="N27" i="45" s="1"/>
  <c r="O27" i="45" s="1"/>
  <c r="AI36" i="55"/>
  <c r="AI38" i="55" s="1"/>
  <c r="AK23" i="1" s="1"/>
  <c r="E66" i="55"/>
  <c r="E68" i="55" s="1"/>
  <c r="S23" i="1" s="1"/>
  <c r="T34" i="56"/>
  <c r="T36" i="56" s="1"/>
  <c r="R28" i="45" s="1"/>
  <c r="E34" i="57"/>
  <c r="E36" i="57" s="1"/>
  <c r="N25" i="1" s="1"/>
  <c r="Y34" i="57"/>
  <c r="Y36" i="57" s="1"/>
  <c r="U29" i="45" s="1"/>
  <c r="E47" i="57"/>
  <c r="E49" i="57" s="1"/>
  <c r="Q25" i="1" s="1"/>
  <c r="J34" i="58"/>
  <c r="J36" i="58" s="1"/>
  <c r="AD34" i="58"/>
  <c r="AD36" i="58" s="1"/>
  <c r="X30" i="45" s="1"/>
  <c r="O34" i="59"/>
  <c r="O36" i="59" s="1"/>
  <c r="N31" i="45" s="1"/>
  <c r="O31" i="45" s="1"/>
  <c r="AI34" i="59"/>
  <c r="AI36" i="59" s="1"/>
  <c r="AK27" i="1" s="1"/>
  <c r="E64" i="59"/>
  <c r="E66" i="59" s="1"/>
  <c r="T34" i="60"/>
  <c r="T36" i="60" s="1"/>
  <c r="R32" i="45" s="1"/>
  <c r="J36" i="60"/>
  <c r="AD36" i="60"/>
  <c r="X32" i="45" s="1"/>
  <c r="E34" i="61"/>
  <c r="E36" i="61" s="1"/>
  <c r="Y34" i="61"/>
  <c r="Y36" i="61" s="1"/>
  <c r="U33" i="45" s="1"/>
  <c r="E47" i="61"/>
  <c r="E49" i="61" s="1"/>
  <c r="O34" i="62"/>
  <c r="O36" i="62" s="1"/>
  <c r="N34" i="45" s="1"/>
  <c r="O34" i="45" s="1"/>
  <c r="AI34" i="62"/>
  <c r="AI36" i="62" s="1"/>
  <c r="E36" i="62"/>
  <c r="E49" i="62"/>
  <c r="E64" i="62"/>
  <c r="E66" i="62" s="1"/>
  <c r="AD36" i="63"/>
  <c r="X35" i="45" s="1"/>
  <c r="O36" i="64"/>
  <c r="N36" i="45" s="1"/>
  <c r="O36" i="45" s="1"/>
  <c r="E47" i="64"/>
  <c r="E49" i="64" s="1"/>
  <c r="T36" i="65"/>
  <c r="R37" i="45" s="1"/>
  <c r="J34" i="54"/>
  <c r="J36" i="54" s="1"/>
  <c r="AD34" i="54"/>
  <c r="AD36" i="54" s="1"/>
  <c r="X26" i="45" s="1"/>
  <c r="T36" i="54"/>
  <c r="R26" i="45" s="1"/>
  <c r="T36" i="55"/>
  <c r="T38" i="55" s="1"/>
  <c r="R27" i="45" s="1"/>
  <c r="AD38" i="55"/>
  <c r="X27" i="45" s="1"/>
  <c r="E34" i="56"/>
  <c r="E36" i="56" s="1"/>
  <c r="Y34" i="56"/>
  <c r="Y36" i="56" s="1"/>
  <c r="U28" i="45" s="1"/>
  <c r="E47" i="56"/>
  <c r="E49" i="56" s="1"/>
  <c r="E66" i="56"/>
  <c r="J34" i="57"/>
  <c r="J36" i="57" s="1"/>
  <c r="AD34" i="57"/>
  <c r="AD36" i="57" s="1"/>
  <c r="X29" i="45" s="1"/>
  <c r="O34" i="58"/>
  <c r="O36" i="58" s="1"/>
  <c r="N30" i="45" s="1"/>
  <c r="O30" i="45" s="1"/>
  <c r="AI34" i="58"/>
  <c r="AI36" i="58" s="1"/>
  <c r="E36" i="58"/>
  <c r="Y36" i="58"/>
  <c r="U30" i="45" s="1"/>
  <c r="E64" i="58"/>
  <c r="E66" i="58" s="1"/>
  <c r="S26" i="1" s="1"/>
  <c r="AL26" i="1" s="1"/>
  <c r="AX26" i="1" s="1"/>
  <c r="AZ26" i="1" s="1"/>
  <c r="T34" i="59"/>
  <c r="T36" i="59" s="1"/>
  <c r="R31" i="45" s="1"/>
  <c r="J36" i="59"/>
  <c r="V27" i="1" s="1"/>
  <c r="E34" i="60"/>
  <c r="E36" i="60" s="1"/>
  <c r="Y34" i="60"/>
  <c r="Y36" i="60" s="1"/>
  <c r="U32" i="45" s="1"/>
  <c r="AI36" i="60"/>
  <c r="J34" i="61"/>
  <c r="J36" i="61" s="1"/>
  <c r="AD34" i="61"/>
  <c r="AD36" i="61" s="1"/>
  <c r="X33" i="45" s="1"/>
  <c r="T34" i="62"/>
  <c r="T36" i="62" s="1"/>
  <c r="R34" i="45" s="1"/>
  <c r="E34" i="63"/>
  <c r="E36" i="63" s="1"/>
  <c r="Y34" i="63"/>
  <c r="Y36" i="63" s="1"/>
  <c r="U35" i="45" s="1"/>
  <c r="E47" i="63"/>
  <c r="E49" i="63" s="1"/>
  <c r="C5" i="64"/>
  <c r="J34" i="64"/>
  <c r="J36" i="64" s="1"/>
  <c r="AD34" i="64"/>
  <c r="AD36" i="64" s="1"/>
  <c r="X36" i="45" s="1"/>
  <c r="O34" i="65"/>
  <c r="O36" i="65" s="1"/>
  <c r="N37" i="45" s="1"/>
  <c r="O37" i="45" s="1"/>
  <c r="AI34" i="65"/>
  <c r="AI36" i="65" s="1"/>
  <c r="Y36" i="65"/>
  <c r="U37" i="45" s="1"/>
  <c r="E64" i="65"/>
  <c r="E66" i="65" s="1"/>
  <c r="AN21" i="1"/>
  <c r="AO33" i="1"/>
  <c r="AN33" i="1"/>
  <c r="AO31" i="1"/>
  <c r="AN31" i="1"/>
  <c r="W23" i="44"/>
  <c r="R23" i="44"/>
  <c r="M23" i="44"/>
  <c r="W23" i="43"/>
  <c r="R23" i="43"/>
  <c r="W23" i="42"/>
  <c r="R23" i="42"/>
  <c r="M23" i="42"/>
  <c r="W23" i="41"/>
  <c r="R23" i="41"/>
  <c r="M23" i="41"/>
  <c r="W23" i="40"/>
  <c r="R23" i="40"/>
  <c r="M23" i="40"/>
  <c r="W23" i="39"/>
  <c r="R23" i="39"/>
  <c r="W23" i="38"/>
  <c r="R23" i="38"/>
  <c r="M23" i="38"/>
  <c r="W23" i="37"/>
  <c r="R23" i="37"/>
  <c r="M23" i="37"/>
  <c r="W23" i="35"/>
  <c r="R23" i="35"/>
  <c r="M23" i="35"/>
  <c r="W23" i="34"/>
  <c r="R23" i="34"/>
  <c r="M23" i="34"/>
  <c r="W23" i="33"/>
  <c r="R23" i="33"/>
  <c r="M23" i="33"/>
  <c r="W23" i="32"/>
  <c r="R23" i="32"/>
  <c r="M23" i="32"/>
  <c r="W23" i="31"/>
  <c r="R23" i="31"/>
  <c r="M23" i="31"/>
  <c r="T22" i="45"/>
  <c r="T21" i="45"/>
  <c r="T20" i="45"/>
  <c r="T19" i="45"/>
  <c r="T18" i="45"/>
  <c r="T17" i="45"/>
  <c r="T16" i="45"/>
  <c r="T15" i="45"/>
  <c r="T14" i="45"/>
  <c r="T13" i="45"/>
  <c r="T12" i="45"/>
  <c r="T11" i="45"/>
  <c r="T10" i="45"/>
  <c r="T9" i="45"/>
  <c r="T8" i="45"/>
  <c r="Q22" i="45"/>
  <c r="Q21" i="45"/>
  <c r="Q20" i="45"/>
  <c r="Q19" i="45"/>
  <c r="Q18" i="45"/>
  <c r="Q17" i="45"/>
  <c r="Q16" i="45"/>
  <c r="Q15" i="45"/>
  <c r="Q14" i="45"/>
  <c r="Q13" i="45"/>
  <c r="Q12" i="45"/>
  <c r="Q11" i="45"/>
  <c r="Q10" i="45"/>
  <c r="Q9" i="45"/>
  <c r="M22" i="45"/>
  <c r="M21" i="45"/>
  <c r="M20" i="45"/>
  <c r="M19" i="45"/>
  <c r="M18" i="45"/>
  <c r="M17" i="45"/>
  <c r="M16" i="45"/>
  <c r="M15" i="45"/>
  <c r="M14" i="45"/>
  <c r="M12" i="45"/>
  <c r="M13" i="45"/>
  <c r="M11" i="45"/>
  <c r="M10" i="45"/>
  <c r="M9" i="45"/>
  <c r="Z39" i="45" l="1"/>
  <c r="AM28" i="1"/>
  <c r="F27" i="71"/>
  <c r="G27" i="71" s="1"/>
  <c r="AM26" i="1"/>
  <c r="F24" i="71"/>
  <c r="G24" i="71" s="1"/>
  <c r="AM23" i="1"/>
  <c r="F20" i="71"/>
  <c r="G20" i="71" s="1"/>
  <c r="AM22" i="1"/>
  <c r="AN22" i="1" s="1"/>
  <c r="F19" i="71"/>
  <c r="G19" i="71" s="1"/>
  <c r="AM20" i="1"/>
  <c r="F17" i="71"/>
  <c r="G17" i="71" s="1"/>
  <c r="AM19" i="1"/>
  <c r="AN19" i="1" s="1"/>
  <c r="F16" i="71"/>
  <c r="G16" i="71" s="1"/>
  <c r="T25" i="1"/>
  <c r="F22" i="71" s="1"/>
  <c r="G22" i="71" s="1"/>
  <c r="C17" i="61"/>
  <c r="C18" i="61" s="1"/>
  <c r="C17" i="56"/>
  <c r="C18" i="56" s="1"/>
  <c r="C17" i="57"/>
  <c r="C18" i="57" s="1"/>
  <c r="C17" i="64"/>
  <c r="C18" i="64" s="1"/>
  <c r="C17" i="51"/>
  <c r="C18" i="51" s="1"/>
  <c r="N24" i="45"/>
  <c r="O24" i="45" s="1"/>
  <c r="Y20" i="1"/>
  <c r="AL20" i="1" s="1"/>
  <c r="AX20" i="1" s="1"/>
  <c r="AZ20" i="1" s="1"/>
  <c r="F31" i="45"/>
  <c r="G31" i="45" s="1"/>
  <c r="AC31" i="45" s="1"/>
  <c r="F34" i="45"/>
  <c r="G34" i="45" s="1"/>
  <c r="N32" i="45"/>
  <c r="O32" i="45" s="1"/>
  <c r="Y28" i="1"/>
  <c r="AL28" i="1" s="1"/>
  <c r="AX28" i="1" s="1"/>
  <c r="AZ28" i="1" s="1"/>
  <c r="N29" i="45"/>
  <c r="O29" i="45" s="1"/>
  <c r="Y25" i="1"/>
  <c r="AL25" i="1" s="1"/>
  <c r="AX25" i="1" s="1"/>
  <c r="AZ25" i="1" s="1"/>
  <c r="AC34" i="45"/>
  <c r="AN24" i="1"/>
  <c r="AL27" i="1"/>
  <c r="AX27" i="1" s="1"/>
  <c r="AZ27" i="1" s="1"/>
  <c r="F33" i="45"/>
  <c r="G33" i="45" s="1"/>
  <c r="AC33" i="45" s="1"/>
  <c r="AL21" i="1"/>
  <c r="F28" i="45"/>
  <c r="G28" i="45" s="1"/>
  <c r="AO27" i="1"/>
  <c r="F32" i="45"/>
  <c r="G32" i="45" s="1"/>
  <c r="C17" i="60"/>
  <c r="C18" i="60" s="1"/>
  <c r="AL23" i="1"/>
  <c r="AX23" i="1" s="1"/>
  <c r="AZ23" i="1" s="1"/>
  <c r="C17" i="55"/>
  <c r="C18" i="55" s="1"/>
  <c r="F29" i="45"/>
  <c r="G29" i="45" s="1"/>
  <c r="AL22" i="1"/>
  <c r="AL19" i="1"/>
  <c r="AN29" i="1"/>
  <c r="C17" i="52"/>
  <c r="C18" i="52" s="1"/>
  <c r="F37" i="45"/>
  <c r="G37" i="45" s="1"/>
  <c r="AN32" i="1"/>
  <c r="AO32" i="1"/>
  <c r="AO30" i="1"/>
  <c r="AN30" i="1"/>
  <c r="AN20" i="1"/>
  <c r="AN26" i="1"/>
  <c r="AO26" i="1" s="1"/>
  <c r="F27" i="45"/>
  <c r="G27" i="45" s="1"/>
  <c r="F30" i="45"/>
  <c r="G30" i="45" s="1"/>
  <c r="AN28" i="1"/>
  <c r="F36" i="45"/>
  <c r="G36" i="45" s="1"/>
  <c r="F25" i="45"/>
  <c r="G25" i="45" s="1"/>
  <c r="F35" i="45"/>
  <c r="G35" i="45" s="1"/>
  <c r="AC35" i="45" s="1"/>
  <c r="F24" i="45"/>
  <c r="G24" i="45" s="1"/>
  <c r="F23" i="45"/>
  <c r="G23" i="45" s="1"/>
  <c r="AC23" i="45" s="1"/>
  <c r="C17" i="58"/>
  <c r="C18" i="58" s="1"/>
  <c r="F26" i="45"/>
  <c r="AN23" i="1"/>
  <c r="W8" i="45"/>
  <c r="W9" i="45"/>
  <c r="W10" i="45"/>
  <c r="W11" i="45"/>
  <c r="W12" i="45"/>
  <c r="W13" i="45"/>
  <c r="W14" i="45"/>
  <c r="W15" i="45"/>
  <c r="W16" i="45"/>
  <c r="W17" i="45"/>
  <c r="W18" i="45"/>
  <c r="W19" i="45"/>
  <c r="W20" i="45"/>
  <c r="W21" i="45"/>
  <c r="W22" i="45"/>
  <c r="W23" i="30"/>
  <c r="R23" i="30"/>
  <c r="M23" i="30"/>
  <c r="W23" i="28"/>
  <c r="R23" i="28"/>
  <c r="M23" i="28"/>
  <c r="M8" i="45"/>
  <c r="Q8" i="45"/>
  <c r="AP30" i="1" l="1"/>
  <c r="G26" i="45"/>
  <c r="AC26" i="45" s="1"/>
  <c r="AP29" i="1"/>
  <c r="AM25" i="1"/>
  <c r="AN25" i="1" s="1"/>
  <c r="AO19" i="1"/>
  <c r="AX19" i="1"/>
  <c r="AZ19" i="1" s="1"/>
  <c r="AO22" i="1"/>
  <c r="AX22" i="1"/>
  <c r="AZ22" i="1" s="1"/>
  <c r="AO21" i="1"/>
  <c r="AX21" i="1"/>
  <c r="AZ21" i="1" s="1"/>
  <c r="AC24" i="45"/>
  <c r="AC28" i="45"/>
  <c r="AO25" i="1"/>
  <c r="AO28" i="1"/>
  <c r="AC36" i="45"/>
  <c r="AC37" i="45"/>
  <c r="AP31" i="1"/>
  <c r="AO23" i="1"/>
  <c r="AC29" i="45"/>
  <c r="AC25" i="45"/>
  <c r="AC32" i="45"/>
  <c r="AC30" i="45"/>
  <c r="AC27" i="45"/>
  <c r="AO20" i="1"/>
  <c r="AP19" i="1"/>
  <c r="E40" i="40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Q5" i="1"/>
  <c r="AS5" i="1" s="1"/>
  <c r="AQ6" i="1"/>
  <c r="AS6" i="1" s="1"/>
  <c r="AQ7" i="1"/>
  <c r="AS7" i="1" s="1"/>
  <c r="AQ8" i="1"/>
  <c r="AS8" i="1" s="1"/>
  <c r="AQ9" i="1"/>
  <c r="AS9" i="1" s="1"/>
  <c r="AQ10" i="1"/>
  <c r="AS10" i="1" s="1"/>
  <c r="AQ11" i="1"/>
  <c r="AS11" i="1" s="1"/>
  <c r="AQ12" i="1"/>
  <c r="AS12" i="1" s="1"/>
  <c r="AQ13" i="1"/>
  <c r="AS13" i="1" s="1"/>
  <c r="AQ14" i="1"/>
  <c r="AS14" i="1" s="1"/>
  <c r="AQ15" i="1"/>
  <c r="AS15" i="1" s="1"/>
  <c r="AQ16" i="1"/>
  <c r="AS16" i="1" s="1"/>
  <c r="AQ17" i="1"/>
  <c r="AS17" i="1" s="1"/>
  <c r="AQ18" i="1"/>
  <c r="AS18" i="1" s="1"/>
  <c r="AQ4" i="1"/>
  <c r="AP22" i="1" l="1"/>
  <c r="AP28" i="1"/>
  <c r="AP21" i="1"/>
  <c r="AP24" i="1"/>
  <c r="AP23" i="1"/>
  <c r="AP25" i="1"/>
  <c r="AP32" i="1"/>
  <c r="AP20" i="1"/>
  <c r="AP33" i="1"/>
  <c r="AP26" i="1"/>
  <c r="AR4" i="1"/>
  <c r="AS4" i="1" s="1"/>
  <c r="D12" i="28" l="1"/>
  <c r="C12" i="28"/>
  <c r="E11" i="28"/>
  <c r="E10" i="28"/>
  <c r="E9" i="28"/>
  <c r="E8" i="28"/>
  <c r="D12" i="30"/>
  <c r="C12" i="30"/>
  <c r="E11" i="30"/>
  <c r="E10" i="30"/>
  <c r="E9" i="30"/>
  <c r="E8" i="30"/>
  <c r="D12" i="31"/>
  <c r="C12" i="31"/>
  <c r="E11" i="31"/>
  <c r="E10" i="31"/>
  <c r="E9" i="31"/>
  <c r="E8" i="31"/>
  <c r="D12" i="32"/>
  <c r="C12" i="32"/>
  <c r="E11" i="32"/>
  <c r="E10" i="32"/>
  <c r="E9" i="32"/>
  <c r="E8" i="32"/>
  <c r="E12" i="32" l="1"/>
  <c r="E12" i="31"/>
  <c r="E12" i="30"/>
  <c r="C14" i="30" s="1"/>
  <c r="E12" i="28"/>
  <c r="C14" i="28" s="1"/>
  <c r="T4" i="1" s="1"/>
  <c r="F3" i="71" s="1"/>
  <c r="G3" i="71" s="1"/>
  <c r="E63" i="44"/>
  <c r="E62" i="44"/>
  <c r="E61" i="44"/>
  <c r="E60" i="44"/>
  <c r="E59" i="44"/>
  <c r="E58" i="44"/>
  <c r="E57" i="44"/>
  <c r="E56" i="44"/>
  <c r="E55" i="44"/>
  <c r="E54" i="44"/>
  <c r="E53" i="44"/>
  <c r="E46" i="44"/>
  <c r="E45" i="44"/>
  <c r="E44" i="44"/>
  <c r="E43" i="44"/>
  <c r="E42" i="44"/>
  <c r="E41" i="44"/>
  <c r="E40" i="44"/>
  <c r="E63" i="43"/>
  <c r="E62" i="43"/>
  <c r="E61" i="43"/>
  <c r="E60" i="43"/>
  <c r="E59" i="43"/>
  <c r="E58" i="43"/>
  <c r="E57" i="43"/>
  <c r="E56" i="43"/>
  <c r="E55" i="43"/>
  <c r="E54" i="43"/>
  <c r="E53" i="43"/>
  <c r="E46" i="43"/>
  <c r="E45" i="43"/>
  <c r="E44" i="43"/>
  <c r="E43" i="43"/>
  <c r="E42" i="43"/>
  <c r="E41" i="43"/>
  <c r="E40" i="43"/>
  <c r="E63" i="42"/>
  <c r="E62" i="42"/>
  <c r="E61" i="42"/>
  <c r="E60" i="42"/>
  <c r="E59" i="42"/>
  <c r="E58" i="42"/>
  <c r="E57" i="42"/>
  <c r="E56" i="42"/>
  <c r="E55" i="42"/>
  <c r="E54" i="42"/>
  <c r="E53" i="42"/>
  <c r="E46" i="42"/>
  <c r="E45" i="42"/>
  <c r="E44" i="42"/>
  <c r="E43" i="42"/>
  <c r="E42" i="42"/>
  <c r="E41" i="42"/>
  <c r="E40" i="42"/>
  <c r="E63" i="41"/>
  <c r="E62" i="41"/>
  <c r="E61" i="41"/>
  <c r="E60" i="41"/>
  <c r="E53" i="41"/>
  <c r="E46" i="41"/>
  <c r="E45" i="41"/>
  <c r="E44" i="41"/>
  <c r="E43" i="41"/>
  <c r="E42" i="41"/>
  <c r="E41" i="41"/>
  <c r="E40" i="41"/>
  <c r="E63" i="40"/>
  <c r="E62" i="40"/>
  <c r="E61" i="40"/>
  <c r="E60" i="40"/>
  <c r="E59" i="40"/>
  <c r="E58" i="40"/>
  <c r="E57" i="40"/>
  <c r="E56" i="40"/>
  <c r="E55" i="40"/>
  <c r="E54" i="40"/>
  <c r="E53" i="40"/>
  <c r="E46" i="40"/>
  <c r="E45" i="40"/>
  <c r="E44" i="40"/>
  <c r="E43" i="40"/>
  <c r="E42" i="40"/>
  <c r="E41" i="40"/>
  <c r="E63" i="39"/>
  <c r="E62" i="39"/>
  <c r="E61" i="39"/>
  <c r="E60" i="39"/>
  <c r="E59" i="39"/>
  <c r="E58" i="39"/>
  <c r="E57" i="39"/>
  <c r="E56" i="39"/>
  <c r="E55" i="39"/>
  <c r="E54" i="39"/>
  <c r="E53" i="39"/>
  <c r="E46" i="39"/>
  <c r="E45" i="39"/>
  <c r="E44" i="39"/>
  <c r="E43" i="39"/>
  <c r="E42" i="39"/>
  <c r="E41" i="39"/>
  <c r="E40" i="39"/>
  <c r="E63" i="38"/>
  <c r="E62" i="38"/>
  <c r="E61" i="38"/>
  <c r="E60" i="38"/>
  <c r="E59" i="38"/>
  <c r="E58" i="38"/>
  <c r="E57" i="38"/>
  <c r="E56" i="38"/>
  <c r="E55" i="38"/>
  <c r="E54" i="38"/>
  <c r="E53" i="38"/>
  <c r="E46" i="38"/>
  <c r="E45" i="38"/>
  <c r="E44" i="38"/>
  <c r="E43" i="38"/>
  <c r="E42" i="38"/>
  <c r="E41" i="38"/>
  <c r="E40" i="38"/>
  <c r="E64" i="37"/>
  <c r="E63" i="37"/>
  <c r="E62" i="37"/>
  <c r="E61" i="37"/>
  <c r="E60" i="37"/>
  <c r="E59" i="37"/>
  <c r="E58" i="37"/>
  <c r="E57" i="37"/>
  <c r="E56" i="37"/>
  <c r="E55" i="37"/>
  <c r="E54" i="37"/>
  <c r="E47" i="37"/>
  <c r="E46" i="37"/>
  <c r="E45" i="37"/>
  <c r="E44" i="37"/>
  <c r="E43" i="37"/>
  <c r="E42" i="37"/>
  <c r="E41" i="37"/>
  <c r="E63" i="35"/>
  <c r="E62" i="35"/>
  <c r="E61" i="35"/>
  <c r="E60" i="35"/>
  <c r="E59" i="35"/>
  <c r="E58" i="35"/>
  <c r="E57" i="35"/>
  <c r="E56" i="35"/>
  <c r="E55" i="35"/>
  <c r="E54" i="35"/>
  <c r="E53" i="35"/>
  <c r="E46" i="35"/>
  <c r="E45" i="35"/>
  <c r="E44" i="35"/>
  <c r="E43" i="35"/>
  <c r="E42" i="35"/>
  <c r="E41" i="35"/>
  <c r="E40" i="35"/>
  <c r="E63" i="34"/>
  <c r="E62" i="34"/>
  <c r="E61" i="34"/>
  <c r="E60" i="34"/>
  <c r="E59" i="34"/>
  <c r="E58" i="34"/>
  <c r="E57" i="34"/>
  <c r="E56" i="34"/>
  <c r="E55" i="34"/>
  <c r="E54" i="34"/>
  <c r="E53" i="34"/>
  <c r="E47" i="33"/>
  <c r="E46" i="33"/>
  <c r="E45" i="33"/>
  <c r="E44" i="33"/>
  <c r="E43" i="33"/>
  <c r="E42" i="33"/>
  <c r="E41" i="33"/>
  <c r="E64" i="33"/>
  <c r="E63" i="33"/>
  <c r="E62" i="33"/>
  <c r="E61" i="33"/>
  <c r="E60" i="33"/>
  <c r="E59" i="33"/>
  <c r="E58" i="33"/>
  <c r="E57" i="33"/>
  <c r="E56" i="33"/>
  <c r="E55" i="33"/>
  <c r="E54" i="33"/>
  <c r="E46" i="34"/>
  <c r="E45" i="34"/>
  <c r="E44" i="34"/>
  <c r="E43" i="34"/>
  <c r="E42" i="34"/>
  <c r="E41" i="34"/>
  <c r="E40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34" i="33"/>
  <c r="E32" i="33"/>
  <c r="E31" i="33"/>
  <c r="E30" i="33"/>
  <c r="E29" i="33"/>
  <c r="E28" i="33"/>
  <c r="E27" i="33"/>
  <c r="E26" i="33"/>
  <c r="E25" i="33"/>
  <c r="E24" i="33"/>
  <c r="E23" i="33"/>
  <c r="E22" i="33"/>
  <c r="E63" i="32"/>
  <c r="E62" i="32"/>
  <c r="E61" i="32"/>
  <c r="E60" i="32"/>
  <c r="E59" i="32"/>
  <c r="E58" i="32"/>
  <c r="E57" i="32"/>
  <c r="E56" i="32"/>
  <c r="E55" i="32"/>
  <c r="E54" i="32"/>
  <c r="E53" i="32"/>
  <c r="E46" i="32"/>
  <c r="E45" i="32"/>
  <c r="E44" i="32"/>
  <c r="E43" i="32"/>
  <c r="E42" i="32"/>
  <c r="E41" i="32"/>
  <c r="E40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63" i="31"/>
  <c r="E62" i="31"/>
  <c r="E61" i="31"/>
  <c r="E60" i="31"/>
  <c r="E59" i="31"/>
  <c r="E58" i="31"/>
  <c r="E57" i="31"/>
  <c r="E56" i="31"/>
  <c r="E55" i="31"/>
  <c r="E54" i="31"/>
  <c r="E53" i="31"/>
  <c r="E46" i="31"/>
  <c r="E45" i="31"/>
  <c r="E44" i="31"/>
  <c r="E43" i="31"/>
  <c r="E42" i="31"/>
  <c r="E41" i="31"/>
  <c r="E40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63" i="30"/>
  <c r="E62" i="30"/>
  <c r="E61" i="30"/>
  <c r="E60" i="30"/>
  <c r="E59" i="30"/>
  <c r="E58" i="30"/>
  <c r="E57" i="30"/>
  <c r="E56" i="30"/>
  <c r="E55" i="30"/>
  <c r="E54" i="30"/>
  <c r="E53" i="30"/>
  <c r="E46" i="30"/>
  <c r="E45" i="30"/>
  <c r="E44" i="30"/>
  <c r="E43" i="30"/>
  <c r="E42" i="30"/>
  <c r="E41" i="30"/>
  <c r="E40" i="30"/>
  <c r="E33" i="30"/>
  <c r="E32" i="30"/>
  <c r="E31" i="30"/>
  <c r="AD33" i="30"/>
  <c r="AD32" i="30"/>
  <c r="AD31" i="30"/>
  <c r="AD30" i="30"/>
  <c r="AD29" i="30"/>
  <c r="AD28" i="30"/>
  <c r="AD27" i="30"/>
  <c r="AD26" i="30"/>
  <c r="AD25" i="30"/>
  <c r="AD24" i="30"/>
  <c r="AD22" i="30"/>
  <c r="E63" i="28"/>
  <c r="E62" i="28"/>
  <c r="E61" i="28"/>
  <c r="E60" i="28"/>
  <c r="E59" i="28"/>
  <c r="E58" i="28"/>
  <c r="E57" i="28"/>
  <c r="E56" i="28"/>
  <c r="E55" i="28"/>
  <c r="E54" i="28"/>
  <c r="E53" i="28"/>
  <c r="E46" i="28"/>
  <c r="E45" i="28"/>
  <c r="E44" i="28"/>
  <c r="E43" i="28"/>
  <c r="E42" i="28"/>
  <c r="E41" i="28"/>
  <c r="E40" i="28"/>
  <c r="E22" i="28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D8" i="45"/>
  <c r="C8" i="45"/>
  <c r="V18" i="1" l="1"/>
  <c r="W18" i="1"/>
  <c r="Y18" i="1"/>
  <c r="Z18" i="1"/>
  <c r="AB18" i="1"/>
  <c r="AC18" i="1"/>
  <c r="AE18" i="1"/>
  <c r="AF18" i="1"/>
  <c r="AH18" i="1"/>
  <c r="AI18" i="1"/>
  <c r="Q17" i="1"/>
  <c r="V17" i="1"/>
  <c r="W17" i="1"/>
  <c r="AB17" i="1"/>
  <c r="AC17" i="1"/>
  <c r="AH17" i="1"/>
  <c r="N16" i="1"/>
  <c r="Q16" i="1"/>
  <c r="V16" i="1"/>
  <c r="W16" i="1"/>
  <c r="Y16" i="1"/>
  <c r="Z16" i="1"/>
  <c r="AB16" i="1"/>
  <c r="AC16" i="1"/>
  <c r="AE16" i="1"/>
  <c r="AF16" i="1"/>
  <c r="AH16" i="1"/>
  <c r="AI16" i="1"/>
  <c r="Y15" i="1"/>
  <c r="Z15" i="1"/>
  <c r="AB15" i="1"/>
  <c r="AC15" i="1"/>
  <c r="AE15" i="1"/>
  <c r="AF15" i="1"/>
  <c r="AH15" i="1"/>
  <c r="AI15" i="1"/>
  <c r="V14" i="1"/>
  <c r="W14" i="1"/>
  <c r="Y14" i="1"/>
  <c r="Z14" i="1"/>
  <c r="AB14" i="1"/>
  <c r="AC14" i="1"/>
  <c r="AE14" i="1"/>
  <c r="AF14" i="1"/>
  <c r="AH14" i="1"/>
  <c r="AI14" i="1"/>
  <c r="AK14" i="1"/>
  <c r="V13" i="1"/>
  <c r="W13" i="1"/>
  <c r="AB13" i="1"/>
  <c r="AC13" i="1"/>
  <c r="AE13" i="1"/>
  <c r="AF13" i="1"/>
  <c r="AH13" i="1"/>
  <c r="AI13" i="1"/>
  <c r="AK13" i="1"/>
  <c r="Y12" i="1"/>
  <c r="Z12" i="1"/>
  <c r="AB12" i="1"/>
  <c r="AC12" i="1"/>
  <c r="AE12" i="1"/>
  <c r="AF12" i="1"/>
  <c r="AH12" i="1"/>
  <c r="AI12" i="1"/>
  <c r="Y11" i="1"/>
  <c r="W11" i="1"/>
  <c r="AB11" i="1"/>
  <c r="Z11" i="1"/>
  <c r="AC11" i="1"/>
  <c r="AE11" i="1"/>
  <c r="AF11" i="1"/>
  <c r="AH11" i="1"/>
  <c r="AI11" i="1"/>
  <c r="AH10" i="1"/>
  <c r="AI9" i="1"/>
  <c r="AF9" i="1"/>
  <c r="AF8" i="1"/>
  <c r="AC9" i="1"/>
  <c r="AC8" i="1"/>
  <c r="Z9" i="1"/>
  <c r="Z8" i="1"/>
  <c r="W9" i="1"/>
  <c r="W10" i="1"/>
  <c r="Z10" i="1"/>
  <c r="AC10" i="1"/>
  <c r="AF10" i="1"/>
  <c r="AI10" i="1"/>
  <c r="AE10" i="1"/>
  <c r="AB10" i="1"/>
  <c r="Y10" i="1"/>
  <c r="V10" i="1"/>
  <c r="Q10" i="1"/>
  <c r="AH9" i="1"/>
  <c r="AE9" i="1"/>
  <c r="AB9" i="1"/>
  <c r="Y9" i="1"/>
  <c r="V9" i="1"/>
  <c r="Q9" i="1"/>
  <c r="N9" i="1"/>
  <c r="AK7" i="1" l="1"/>
  <c r="AI7" i="1"/>
  <c r="AH7" i="1"/>
  <c r="AF7" i="1"/>
  <c r="AE7" i="1"/>
  <c r="AC7" i="1"/>
  <c r="AB7" i="1"/>
  <c r="Z7" i="1"/>
  <c r="Y7" i="1"/>
  <c r="W7" i="1"/>
  <c r="V7" i="1"/>
  <c r="AK6" i="1"/>
  <c r="AI6" i="1"/>
  <c r="AH6" i="1"/>
  <c r="AF6" i="1"/>
  <c r="AE6" i="1"/>
  <c r="AC6" i="1"/>
  <c r="AB6" i="1"/>
  <c r="Z6" i="1"/>
  <c r="Y6" i="1"/>
  <c r="W6" i="1"/>
  <c r="V6" i="1"/>
  <c r="C3" i="44" l="1"/>
  <c r="C2" i="44"/>
  <c r="D18" i="44" s="1"/>
  <c r="B1" i="44"/>
  <c r="E65" i="44"/>
  <c r="E48" i="44"/>
  <c r="E47" i="44"/>
  <c r="AI35" i="44"/>
  <c r="AD35" i="44"/>
  <c r="Y35" i="44"/>
  <c r="T35" i="44"/>
  <c r="O35" i="44"/>
  <c r="J35" i="44"/>
  <c r="E35" i="44"/>
  <c r="AI33" i="44"/>
  <c r="AD33" i="44"/>
  <c r="Y33" i="44"/>
  <c r="T33" i="44"/>
  <c r="O33" i="44"/>
  <c r="J33" i="44"/>
  <c r="E33" i="44"/>
  <c r="AI32" i="44"/>
  <c r="AD32" i="44"/>
  <c r="Y32" i="44"/>
  <c r="T32" i="44"/>
  <c r="O32" i="44"/>
  <c r="J32" i="44"/>
  <c r="E32" i="44"/>
  <c r="AI31" i="44"/>
  <c r="AD31" i="44"/>
  <c r="Y31" i="44"/>
  <c r="T31" i="44"/>
  <c r="O31" i="44"/>
  <c r="J31" i="44"/>
  <c r="E31" i="44"/>
  <c r="AI30" i="44"/>
  <c r="AD30" i="44"/>
  <c r="Y30" i="44"/>
  <c r="T30" i="44"/>
  <c r="O30" i="44"/>
  <c r="J30" i="44"/>
  <c r="E30" i="44"/>
  <c r="AI29" i="44"/>
  <c r="AD29" i="44"/>
  <c r="Y29" i="44"/>
  <c r="T29" i="44"/>
  <c r="O29" i="44"/>
  <c r="J29" i="44"/>
  <c r="E29" i="44"/>
  <c r="AI28" i="44"/>
  <c r="AD28" i="44"/>
  <c r="Y28" i="44"/>
  <c r="T28" i="44"/>
  <c r="O28" i="44"/>
  <c r="J28" i="44"/>
  <c r="E28" i="44"/>
  <c r="AI27" i="44"/>
  <c r="AD27" i="44"/>
  <c r="Y27" i="44"/>
  <c r="T27" i="44"/>
  <c r="O27" i="44"/>
  <c r="J27" i="44"/>
  <c r="E27" i="44"/>
  <c r="AI26" i="44"/>
  <c r="AD26" i="44"/>
  <c r="Y26" i="44"/>
  <c r="T26" i="44"/>
  <c r="O26" i="44"/>
  <c r="J26" i="44"/>
  <c r="E26" i="44"/>
  <c r="AI25" i="44"/>
  <c r="AD25" i="44"/>
  <c r="Y25" i="44"/>
  <c r="T25" i="44"/>
  <c r="O25" i="44"/>
  <c r="J25" i="44"/>
  <c r="E25" i="44"/>
  <c r="AI24" i="44"/>
  <c r="AD24" i="44"/>
  <c r="Y24" i="44"/>
  <c r="T24" i="44"/>
  <c r="O24" i="44"/>
  <c r="J24" i="44"/>
  <c r="E24" i="44"/>
  <c r="AI23" i="44"/>
  <c r="AB23" i="44"/>
  <c r="AD23" i="44" s="1"/>
  <c r="Y23" i="44"/>
  <c r="T23" i="44"/>
  <c r="O23" i="44"/>
  <c r="J23" i="44"/>
  <c r="E23" i="44"/>
  <c r="AI22" i="44"/>
  <c r="AD22" i="44"/>
  <c r="Y22" i="44"/>
  <c r="T22" i="44"/>
  <c r="O22" i="44"/>
  <c r="J22" i="44"/>
  <c r="E22" i="44"/>
  <c r="AB14" i="44"/>
  <c r="W14" i="44"/>
  <c r="R14" i="44"/>
  <c r="M14" i="44"/>
  <c r="H14" i="44"/>
  <c r="AD13" i="44"/>
  <c r="AC13" i="44"/>
  <c r="AB13" i="44"/>
  <c r="D12" i="44"/>
  <c r="C12" i="44"/>
  <c r="AD11" i="44"/>
  <c r="AC11" i="44"/>
  <c r="AB11" i="44"/>
  <c r="E11" i="44"/>
  <c r="E10" i="44"/>
  <c r="E9" i="44"/>
  <c r="E8" i="44"/>
  <c r="C3" i="43"/>
  <c r="C2" i="43"/>
  <c r="D18" i="43" s="1"/>
  <c r="B1" i="43"/>
  <c r="E65" i="43"/>
  <c r="E48" i="43"/>
  <c r="E47" i="43"/>
  <c r="AI35" i="43"/>
  <c r="AD35" i="43"/>
  <c r="Y35" i="43"/>
  <c r="T35" i="43"/>
  <c r="O35" i="43"/>
  <c r="J35" i="43"/>
  <c r="E35" i="43"/>
  <c r="AI33" i="43"/>
  <c r="AD33" i="43"/>
  <c r="Y33" i="43"/>
  <c r="T33" i="43"/>
  <c r="O33" i="43"/>
  <c r="J33" i="43"/>
  <c r="E33" i="43"/>
  <c r="AI32" i="43"/>
  <c r="AD32" i="43"/>
  <c r="Y32" i="43"/>
  <c r="T32" i="43"/>
  <c r="O32" i="43"/>
  <c r="J32" i="43"/>
  <c r="E32" i="43"/>
  <c r="AI31" i="43"/>
  <c r="AD31" i="43"/>
  <c r="Y31" i="43"/>
  <c r="T31" i="43"/>
  <c r="O31" i="43"/>
  <c r="J31" i="43"/>
  <c r="E31" i="43"/>
  <c r="AI30" i="43"/>
  <c r="AD30" i="43"/>
  <c r="Y30" i="43"/>
  <c r="T30" i="43"/>
  <c r="O30" i="43"/>
  <c r="J30" i="43"/>
  <c r="E30" i="43"/>
  <c r="AD29" i="43"/>
  <c r="Y29" i="43"/>
  <c r="T29" i="43"/>
  <c r="O29" i="43"/>
  <c r="J29" i="43"/>
  <c r="E29" i="43"/>
  <c r="AD28" i="43"/>
  <c r="Y28" i="43"/>
  <c r="T28" i="43"/>
  <c r="O28" i="43"/>
  <c r="J28" i="43"/>
  <c r="E28" i="43"/>
  <c r="AD27" i="43"/>
  <c r="Y27" i="43"/>
  <c r="T27" i="43"/>
  <c r="O27" i="43"/>
  <c r="J27" i="43"/>
  <c r="E27" i="43"/>
  <c r="AD26" i="43"/>
  <c r="Y26" i="43"/>
  <c r="T26" i="43"/>
  <c r="O26" i="43"/>
  <c r="J26" i="43"/>
  <c r="E26" i="43"/>
  <c r="AD25" i="43"/>
  <c r="Y25" i="43"/>
  <c r="T25" i="43"/>
  <c r="O25" i="43"/>
  <c r="J25" i="43"/>
  <c r="E25" i="43"/>
  <c r="AD24" i="43"/>
  <c r="Y24" i="43"/>
  <c r="T24" i="43"/>
  <c r="O24" i="43"/>
  <c r="J24" i="43"/>
  <c r="E24" i="43"/>
  <c r="AI23" i="43"/>
  <c r="AB23" i="43"/>
  <c r="AD23" i="43" s="1"/>
  <c r="Y23" i="43"/>
  <c r="T23" i="43"/>
  <c r="O23" i="43"/>
  <c r="J23" i="43"/>
  <c r="E23" i="43"/>
  <c r="AI22" i="43"/>
  <c r="AD22" i="43"/>
  <c r="Y22" i="43"/>
  <c r="T22" i="43"/>
  <c r="O22" i="43"/>
  <c r="J22" i="43"/>
  <c r="E22" i="43"/>
  <c r="AB14" i="43"/>
  <c r="W14" i="43"/>
  <c r="R14" i="43"/>
  <c r="M14" i="43"/>
  <c r="Z17" i="1" s="1"/>
  <c r="H14" i="43"/>
  <c r="AD13" i="43"/>
  <c r="AC13" i="43"/>
  <c r="AB13" i="43"/>
  <c r="D12" i="43"/>
  <c r="C12" i="43"/>
  <c r="AD11" i="43"/>
  <c r="AC11" i="43"/>
  <c r="AB11" i="43"/>
  <c r="E11" i="43"/>
  <c r="E10" i="43"/>
  <c r="E9" i="43"/>
  <c r="E8" i="43"/>
  <c r="C3" i="42"/>
  <c r="C2" i="42"/>
  <c r="D18" i="42" s="1"/>
  <c r="B1" i="42"/>
  <c r="E65" i="42"/>
  <c r="E48" i="42"/>
  <c r="E47" i="42"/>
  <c r="AI35" i="42"/>
  <c r="AD35" i="42"/>
  <c r="Y35" i="42"/>
  <c r="T35" i="42"/>
  <c r="O35" i="42"/>
  <c r="J35" i="42"/>
  <c r="E35" i="42"/>
  <c r="AI33" i="42"/>
  <c r="AD33" i="42"/>
  <c r="Y33" i="42"/>
  <c r="T33" i="42"/>
  <c r="O33" i="42"/>
  <c r="J33" i="42"/>
  <c r="E33" i="42"/>
  <c r="AI32" i="42"/>
  <c r="AD32" i="42"/>
  <c r="Y32" i="42"/>
  <c r="T32" i="42"/>
  <c r="O32" i="42"/>
  <c r="J32" i="42"/>
  <c r="E32" i="42"/>
  <c r="AI31" i="42"/>
  <c r="AD31" i="42"/>
  <c r="Y31" i="42"/>
  <c r="T31" i="42"/>
  <c r="O31" i="42"/>
  <c r="J31" i="42"/>
  <c r="E31" i="42"/>
  <c r="AI30" i="42"/>
  <c r="AD30" i="42"/>
  <c r="Y30" i="42"/>
  <c r="T30" i="42"/>
  <c r="O30" i="42"/>
  <c r="J30" i="42"/>
  <c r="E30" i="42"/>
  <c r="AI29" i="42"/>
  <c r="AD29" i="42"/>
  <c r="Y29" i="42"/>
  <c r="T29" i="42"/>
  <c r="O29" i="42"/>
  <c r="J29" i="42"/>
  <c r="E29" i="42"/>
  <c r="AI28" i="42"/>
  <c r="AD28" i="42"/>
  <c r="Y28" i="42"/>
  <c r="T28" i="42"/>
  <c r="O28" i="42"/>
  <c r="J28" i="42"/>
  <c r="E28" i="42"/>
  <c r="AI27" i="42"/>
  <c r="AD27" i="42"/>
  <c r="Y27" i="42"/>
  <c r="T27" i="42"/>
  <c r="O27" i="42"/>
  <c r="J27" i="42"/>
  <c r="E27" i="42"/>
  <c r="AI26" i="42"/>
  <c r="AD26" i="42"/>
  <c r="Y26" i="42"/>
  <c r="T26" i="42"/>
  <c r="O26" i="42"/>
  <c r="J26" i="42"/>
  <c r="E26" i="42"/>
  <c r="AI25" i="42"/>
  <c r="AD25" i="42"/>
  <c r="Y25" i="42"/>
  <c r="T25" i="42"/>
  <c r="O25" i="42"/>
  <c r="J25" i="42"/>
  <c r="E25" i="42"/>
  <c r="AI24" i="42"/>
  <c r="AD24" i="42"/>
  <c r="Y24" i="42"/>
  <c r="T24" i="42"/>
  <c r="O24" i="42"/>
  <c r="J24" i="42"/>
  <c r="E24" i="42"/>
  <c r="AI23" i="42"/>
  <c r="AB23" i="42"/>
  <c r="AD23" i="42" s="1"/>
  <c r="Y23" i="42"/>
  <c r="T23" i="42"/>
  <c r="O23" i="42"/>
  <c r="J23" i="42"/>
  <c r="E23" i="42"/>
  <c r="AI22" i="42"/>
  <c r="AD22" i="42"/>
  <c r="Y22" i="42"/>
  <c r="T22" i="42"/>
  <c r="O22" i="42"/>
  <c r="J22" i="42"/>
  <c r="E22" i="42"/>
  <c r="AB14" i="42"/>
  <c r="W14" i="42"/>
  <c r="R14" i="42"/>
  <c r="M14" i="42"/>
  <c r="H14" i="42"/>
  <c r="AD13" i="42"/>
  <c r="AC13" i="42"/>
  <c r="AB13" i="42"/>
  <c r="D12" i="42"/>
  <c r="C12" i="42"/>
  <c r="AD11" i="42"/>
  <c r="AC11" i="42"/>
  <c r="AB11" i="42"/>
  <c r="E11" i="42"/>
  <c r="E10" i="42"/>
  <c r="E9" i="42"/>
  <c r="E8" i="42"/>
  <c r="C3" i="41"/>
  <c r="B1" i="41"/>
  <c r="E65" i="41"/>
  <c r="E64" i="41"/>
  <c r="E48" i="41"/>
  <c r="E47" i="41"/>
  <c r="AI35" i="41"/>
  <c r="AD35" i="41"/>
  <c r="Y35" i="41"/>
  <c r="T35" i="41"/>
  <c r="O35" i="41"/>
  <c r="J35" i="41"/>
  <c r="E35" i="41"/>
  <c r="AI33" i="41"/>
  <c r="AD33" i="41"/>
  <c r="Y33" i="41"/>
  <c r="T33" i="41"/>
  <c r="O33" i="41"/>
  <c r="J33" i="41"/>
  <c r="E33" i="41"/>
  <c r="AI32" i="41"/>
  <c r="AD32" i="41"/>
  <c r="Y32" i="41"/>
  <c r="T32" i="41"/>
  <c r="O32" i="41"/>
  <c r="J32" i="41"/>
  <c r="E32" i="41"/>
  <c r="AI31" i="41"/>
  <c r="AD31" i="41"/>
  <c r="Y31" i="41"/>
  <c r="T31" i="41"/>
  <c r="O31" i="41"/>
  <c r="J31" i="41"/>
  <c r="E31" i="41"/>
  <c r="AI30" i="41"/>
  <c r="AD30" i="41"/>
  <c r="Y30" i="41"/>
  <c r="T30" i="41"/>
  <c r="O30" i="41"/>
  <c r="J30" i="41"/>
  <c r="E30" i="41"/>
  <c r="AI29" i="41"/>
  <c r="AD29" i="41"/>
  <c r="Y29" i="41"/>
  <c r="T29" i="41"/>
  <c r="O29" i="41"/>
  <c r="J29" i="41"/>
  <c r="E29" i="41"/>
  <c r="AI28" i="41"/>
  <c r="AD28" i="41"/>
  <c r="Y28" i="41"/>
  <c r="T28" i="41"/>
  <c r="O28" i="41"/>
  <c r="J28" i="41"/>
  <c r="E28" i="41"/>
  <c r="AD27" i="41"/>
  <c r="Y27" i="41"/>
  <c r="T27" i="41"/>
  <c r="O27" i="41"/>
  <c r="J27" i="41"/>
  <c r="E27" i="41"/>
  <c r="AI26" i="41"/>
  <c r="AD26" i="41"/>
  <c r="Y26" i="41"/>
  <c r="T26" i="41"/>
  <c r="O26" i="41"/>
  <c r="J26" i="41"/>
  <c r="AI25" i="41"/>
  <c r="AD25" i="41"/>
  <c r="Y25" i="41"/>
  <c r="T25" i="41"/>
  <c r="O25" i="41"/>
  <c r="J25" i="41"/>
  <c r="E25" i="41"/>
  <c r="AD24" i="41"/>
  <c r="Y24" i="41"/>
  <c r="T24" i="41"/>
  <c r="O24" i="41"/>
  <c r="E24" i="41"/>
  <c r="AI23" i="41"/>
  <c r="AB23" i="41"/>
  <c r="AD23" i="41" s="1"/>
  <c r="Y23" i="41"/>
  <c r="T23" i="41"/>
  <c r="O23" i="41"/>
  <c r="J23" i="41"/>
  <c r="E23" i="41"/>
  <c r="AI22" i="41"/>
  <c r="AD22" i="41"/>
  <c r="Y22" i="41"/>
  <c r="T22" i="41"/>
  <c r="O22" i="41"/>
  <c r="J22" i="41"/>
  <c r="E22" i="41"/>
  <c r="AB14" i="41"/>
  <c r="W14" i="41"/>
  <c r="R14" i="41"/>
  <c r="M14" i="41"/>
  <c r="H14" i="41"/>
  <c r="W15" i="1" s="1"/>
  <c r="AD13" i="41"/>
  <c r="AC13" i="41"/>
  <c r="AB13" i="41"/>
  <c r="D12" i="41"/>
  <c r="C12" i="41"/>
  <c r="AD11" i="41"/>
  <c r="AC11" i="41"/>
  <c r="AB11" i="41"/>
  <c r="E11" i="41"/>
  <c r="E10" i="41"/>
  <c r="E9" i="41"/>
  <c r="E8" i="41"/>
  <c r="C3" i="40"/>
  <c r="C2" i="40"/>
  <c r="D18" i="40" s="1"/>
  <c r="B1" i="40"/>
  <c r="E65" i="40"/>
  <c r="E48" i="40"/>
  <c r="E47" i="40"/>
  <c r="AI35" i="40"/>
  <c r="AD35" i="40"/>
  <c r="Y35" i="40"/>
  <c r="T35" i="40"/>
  <c r="O35" i="40"/>
  <c r="J35" i="40"/>
  <c r="E35" i="40"/>
  <c r="AI33" i="40"/>
  <c r="AD33" i="40"/>
  <c r="Y33" i="40"/>
  <c r="T33" i="40"/>
  <c r="O33" i="40"/>
  <c r="J33" i="40"/>
  <c r="E33" i="40"/>
  <c r="AI32" i="40"/>
  <c r="AD32" i="40"/>
  <c r="Y32" i="40"/>
  <c r="T32" i="40"/>
  <c r="O32" i="40"/>
  <c r="J32" i="40"/>
  <c r="E32" i="40"/>
  <c r="AI31" i="40"/>
  <c r="AD31" i="40"/>
  <c r="Y31" i="40"/>
  <c r="T31" i="40"/>
  <c r="O31" i="40"/>
  <c r="J31" i="40"/>
  <c r="E31" i="40"/>
  <c r="AI30" i="40"/>
  <c r="AD30" i="40"/>
  <c r="Y30" i="40"/>
  <c r="T30" i="40"/>
  <c r="O30" i="40"/>
  <c r="J30" i="40"/>
  <c r="E30" i="40"/>
  <c r="AI29" i="40"/>
  <c r="AD29" i="40"/>
  <c r="Y29" i="40"/>
  <c r="T29" i="40"/>
  <c r="O29" i="40"/>
  <c r="J29" i="40"/>
  <c r="E29" i="40"/>
  <c r="AI28" i="40"/>
  <c r="AD28" i="40"/>
  <c r="Y28" i="40"/>
  <c r="T28" i="40"/>
  <c r="O28" i="40"/>
  <c r="J28" i="40"/>
  <c r="E28" i="40"/>
  <c r="AI27" i="40"/>
  <c r="AD27" i="40"/>
  <c r="Y27" i="40"/>
  <c r="T27" i="40"/>
  <c r="O27" i="40"/>
  <c r="J27" i="40"/>
  <c r="E27" i="40"/>
  <c r="AI26" i="40"/>
  <c r="AD26" i="40"/>
  <c r="Y26" i="40"/>
  <c r="T26" i="40"/>
  <c r="O26" i="40"/>
  <c r="J26" i="40"/>
  <c r="E26" i="40"/>
  <c r="AI25" i="40"/>
  <c r="AD25" i="40"/>
  <c r="Y25" i="40"/>
  <c r="T25" i="40"/>
  <c r="O25" i="40"/>
  <c r="J25" i="40"/>
  <c r="E25" i="40"/>
  <c r="AI24" i="40"/>
  <c r="AD24" i="40"/>
  <c r="Y24" i="40"/>
  <c r="T24" i="40"/>
  <c r="O24" i="40"/>
  <c r="J24" i="40"/>
  <c r="E24" i="40"/>
  <c r="AI23" i="40"/>
  <c r="AB23" i="40"/>
  <c r="AD23" i="40" s="1"/>
  <c r="Y23" i="40"/>
  <c r="T23" i="40"/>
  <c r="O23" i="40"/>
  <c r="J23" i="40"/>
  <c r="E23" i="40"/>
  <c r="AI22" i="40"/>
  <c r="AD22" i="40"/>
  <c r="Y22" i="40"/>
  <c r="T22" i="40"/>
  <c r="O22" i="40"/>
  <c r="J22" i="40"/>
  <c r="E22" i="40"/>
  <c r="AB14" i="40"/>
  <c r="W14" i="40"/>
  <c r="R14" i="40"/>
  <c r="M14" i="40"/>
  <c r="H14" i="40"/>
  <c r="AD13" i="40"/>
  <c r="AC13" i="40"/>
  <c r="AB13" i="40"/>
  <c r="D12" i="40"/>
  <c r="C12" i="40"/>
  <c r="AD11" i="40"/>
  <c r="AC11" i="40"/>
  <c r="AB11" i="40"/>
  <c r="E11" i="40"/>
  <c r="E10" i="40"/>
  <c r="E9" i="40"/>
  <c r="E8" i="40"/>
  <c r="C3" i="39"/>
  <c r="C2" i="39"/>
  <c r="D18" i="39" s="1"/>
  <c r="B1" i="39"/>
  <c r="E65" i="39"/>
  <c r="E48" i="39"/>
  <c r="E47" i="39"/>
  <c r="AI35" i="39"/>
  <c r="AD35" i="39"/>
  <c r="Y35" i="39"/>
  <c r="T35" i="39"/>
  <c r="O35" i="39"/>
  <c r="J35" i="39"/>
  <c r="E35" i="39"/>
  <c r="AI33" i="39"/>
  <c r="AD33" i="39"/>
  <c r="Y33" i="39"/>
  <c r="T33" i="39"/>
  <c r="O33" i="39"/>
  <c r="J33" i="39"/>
  <c r="E33" i="39"/>
  <c r="AI32" i="39"/>
  <c r="AD32" i="39"/>
  <c r="Y32" i="39"/>
  <c r="T32" i="39"/>
  <c r="O32" i="39"/>
  <c r="J32" i="39"/>
  <c r="E32" i="39"/>
  <c r="AI31" i="39"/>
  <c r="AD31" i="39"/>
  <c r="Y31" i="39"/>
  <c r="T31" i="39"/>
  <c r="O31" i="39"/>
  <c r="J31" i="39"/>
  <c r="E31" i="39"/>
  <c r="AI30" i="39"/>
  <c r="AD30" i="39"/>
  <c r="Y30" i="39"/>
  <c r="T30" i="39"/>
  <c r="O30" i="39"/>
  <c r="J30" i="39"/>
  <c r="E30" i="39"/>
  <c r="AI29" i="39"/>
  <c r="AD29" i="39"/>
  <c r="Y29" i="39"/>
  <c r="T29" i="39"/>
  <c r="O29" i="39"/>
  <c r="J29" i="39"/>
  <c r="E29" i="39"/>
  <c r="AI28" i="39"/>
  <c r="AD28" i="39"/>
  <c r="Y28" i="39"/>
  <c r="T28" i="39"/>
  <c r="O28" i="39"/>
  <c r="J28" i="39"/>
  <c r="E28" i="39"/>
  <c r="AI27" i="39"/>
  <c r="AD27" i="39"/>
  <c r="Y27" i="39"/>
  <c r="T27" i="39"/>
  <c r="O27" i="39"/>
  <c r="J27" i="39"/>
  <c r="E27" i="39"/>
  <c r="AI26" i="39"/>
  <c r="AD26" i="39"/>
  <c r="Y26" i="39"/>
  <c r="T26" i="39"/>
  <c r="O26" i="39"/>
  <c r="J26" i="39"/>
  <c r="E26" i="39"/>
  <c r="AI25" i="39"/>
  <c r="AD25" i="39"/>
  <c r="Y25" i="39"/>
  <c r="T25" i="39"/>
  <c r="O25" i="39"/>
  <c r="J25" i="39"/>
  <c r="E25" i="39"/>
  <c r="AI24" i="39"/>
  <c r="AD24" i="39"/>
  <c r="Y24" i="39"/>
  <c r="T24" i="39"/>
  <c r="O24" i="39"/>
  <c r="J24" i="39"/>
  <c r="E24" i="39"/>
  <c r="AI23" i="39"/>
  <c r="AB23" i="39"/>
  <c r="AD23" i="39" s="1"/>
  <c r="Y23" i="39"/>
  <c r="T23" i="39"/>
  <c r="O23" i="39"/>
  <c r="J23" i="39"/>
  <c r="E23" i="39"/>
  <c r="AI22" i="39"/>
  <c r="AD22" i="39"/>
  <c r="Y22" i="39"/>
  <c r="T22" i="39"/>
  <c r="O22" i="39"/>
  <c r="J22" i="39"/>
  <c r="E22" i="39"/>
  <c r="AB14" i="39"/>
  <c r="W14" i="39"/>
  <c r="R14" i="39"/>
  <c r="M14" i="39"/>
  <c r="Z13" i="1" s="1"/>
  <c r="H14" i="39"/>
  <c r="AD13" i="39"/>
  <c r="AC13" i="39"/>
  <c r="AB13" i="39"/>
  <c r="D12" i="39"/>
  <c r="C12" i="39"/>
  <c r="AD11" i="39"/>
  <c r="AC11" i="39"/>
  <c r="AB11" i="39"/>
  <c r="E11" i="39"/>
  <c r="E10" i="39"/>
  <c r="E9" i="39"/>
  <c r="E8" i="39"/>
  <c r="C3" i="38"/>
  <c r="C2" i="38"/>
  <c r="D18" i="38" s="1"/>
  <c r="B1" i="38"/>
  <c r="E65" i="38"/>
  <c r="E64" i="38"/>
  <c r="E48" i="38"/>
  <c r="E47" i="38"/>
  <c r="AI35" i="38"/>
  <c r="AD35" i="38"/>
  <c r="Y35" i="38"/>
  <c r="T35" i="38"/>
  <c r="O35" i="38"/>
  <c r="J35" i="38"/>
  <c r="E35" i="38"/>
  <c r="AI33" i="38"/>
  <c r="AD33" i="38"/>
  <c r="Y33" i="38"/>
  <c r="T33" i="38"/>
  <c r="O33" i="38"/>
  <c r="J33" i="38"/>
  <c r="E33" i="38"/>
  <c r="AI32" i="38"/>
  <c r="AD32" i="38"/>
  <c r="Y32" i="38"/>
  <c r="T32" i="38"/>
  <c r="O32" i="38"/>
  <c r="J32" i="38"/>
  <c r="E32" i="38"/>
  <c r="AI31" i="38"/>
  <c r="AD31" i="38"/>
  <c r="Y31" i="38"/>
  <c r="T31" i="38"/>
  <c r="O31" i="38"/>
  <c r="J31" i="38"/>
  <c r="AI30" i="38"/>
  <c r="AD30" i="38"/>
  <c r="Y30" i="38"/>
  <c r="T30" i="38"/>
  <c r="O30" i="38"/>
  <c r="J30" i="38"/>
  <c r="AI29" i="38"/>
  <c r="AD29" i="38"/>
  <c r="Y29" i="38"/>
  <c r="T29" i="38"/>
  <c r="O29" i="38"/>
  <c r="J29" i="38"/>
  <c r="AI28" i="38"/>
  <c r="AD28" i="38"/>
  <c r="Y28" i="38"/>
  <c r="T28" i="38"/>
  <c r="O28" i="38"/>
  <c r="J28" i="38"/>
  <c r="AI27" i="38"/>
  <c r="AD27" i="38"/>
  <c r="Y27" i="38"/>
  <c r="T27" i="38"/>
  <c r="O27" i="38"/>
  <c r="J27" i="38"/>
  <c r="AI26" i="38"/>
  <c r="AD26" i="38"/>
  <c r="Y26" i="38"/>
  <c r="T26" i="38"/>
  <c r="O26" i="38"/>
  <c r="J26" i="38"/>
  <c r="AI25" i="38"/>
  <c r="AD25" i="38"/>
  <c r="Y25" i="38"/>
  <c r="T25" i="38"/>
  <c r="O25" i="38"/>
  <c r="J25" i="38"/>
  <c r="AD24" i="38"/>
  <c r="Y24" i="38"/>
  <c r="T24" i="38"/>
  <c r="O24" i="38"/>
  <c r="J24" i="38"/>
  <c r="AI23" i="38"/>
  <c r="AB23" i="38"/>
  <c r="AD23" i="38" s="1"/>
  <c r="Y23" i="38"/>
  <c r="T23" i="38"/>
  <c r="O23" i="38"/>
  <c r="J23" i="38"/>
  <c r="AI22" i="38"/>
  <c r="AD22" i="38"/>
  <c r="Y22" i="38"/>
  <c r="T22" i="38"/>
  <c r="O22" i="38"/>
  <c r="J22" i="38"/>
  <c r="E22" i="38"/>
  <c r="AB14" i="38"/>
  <c r="W14" i="38"/>
  <c r="R14" i="38"/>
  <c r="M14" i="38"/>
  <c r="H14" i="38"/>
  <c r="W12" i="1" s="1"/>
  <c r="AD13" i="38"/>
  <c r="AC13" i="38"/>
  <c r="AB13" i="38"/>
  <c r="D12" i="38"/>
  <c r="C12" i="38"/>
  <c r="AD11" i="38"/>
  <c r="AC11" i="38"/>
  <c r="AB11" i="38"/>
  <c r="E11" i="38"/>
  <c r="E10" i="38"/>
  <c r="E9" i="38"/>
  <c r="E8" i="38"/>
  <c r="C3" i="37"/>
  <c r="C2" i="37"/>
  <c r="D18" i="37" s="1"/>
  <c r="B1" i="37"/>
  <c r="E66" i="37"/>
  <c r="E49" i="37"/>
  <c r="E48" i="37"/>
  <c r="AI36" i="37"/>
  <c r="AD36" i="37"/>
  <c r="Y36" i="37"/>
  <c r="T36" i="37"/>
  <c r="O36" i="37"/>
  <c r="J36" i="37"/>
  <c r="E36" i="37"/>
  <c r="AI34" i="37"/>
  <c r="AD34" i="37"/>
  <c r="Y34" i="37"/>
  <c r="T34" i="37"/>
  <c r="O34" i="37"/>
  <c r="J34" i="37"/>
  <c r="E34" i="37"/>
  <c r="AI32" i="37"/>
  <c r="AD32" i="37"/>
  <c r="Y32" i="37"/>
  <c r="T32" i="37"/>
  <c r="O32" i="37"/>
  <c r="J32" i="37"/>
  <c r="E32" i="37"/>
  <c r="AI31" i="37"/>
  <c r="AD31" i="37"/>
  <c r="Y31" i="37"/>
  <c r="T31" i="37"/>
  <c r="O31" i="37"/>
  <c r="J31" i="37"/>
  <c r="E31" i="37"/>
  <c r="AI30" i="37"/>
  <c r="AD30" i="37"/>
  <c r="Y30" i="37"/>
  <c r="T30" i="37"/>
  <c r="O30" i="37"/>
  <c r="J30" i="37"/>
  <c r="E30" i="37"/>
  <c r="AI29" i="37"/>
  <c r="AD29" i="37"/>
  <c r="Y29" i="37"/>
  <c r="T29" i="37"/>
  <c r="O29" i="37"/>
  <c r="J29" i="37"/>
  <c r="E29" i="37"/>
  <c r="AI28" i="37"/>
  <c r="AD28" i="37"/>
  <c r="Y28" i="37"/>
  <c r="T28" i="37"/>
  <c r="O28" i="37"/>
  <c r="J28" i="37"/>
  <c r="E28" i="37"/>
  <c r="AI27" i="37"/>
  <c r="AD27" i="37"/>
  <c r="Y27" i="37"/>
  <c r="T27" i="37"/>
  <c r="O27" i="37"/>
  <c r="J27" i="37"/>
  <c r="E27" i="37"/>
  <c r="AI26" i="37"/>
  <c r="AD26" i="37"/>
  <c r="Y26" i="37"/>
  <c r="T26" i="37"/>
  <c r="O26" i="37"/>
  <c r="J26" i="37"/>
  <c r="E26" i="37"/>
  <c r="AI25" i="37"/>
  <c r="AD25" i="37"/>
  <c r="Y25" i="37"/>
  <c r="T25" i="37"/>
  <c r="O25" i="37"/>
  <c r="J25" i="37"/>
  <c r="E25" i="37"/>
  <c r="AI24" i="37"/>
  <c r="AD24" i="37"/>
  <c r="Y24" i="37"/>
  <c r="T24" i="37"/>
  <c r="O24" i="37"/>
  <c r="J24" i="37"/>
  <c r="E24" i="37"/>
  <c r="AI23" i="37"/>
  <c r="AB23" i="37"/>
  <c r="AD23" i="37" s="1"/>
  <c r="Y23" i="37"/>
  <c r="T23" i="37"/>
  <c r="O23" i="37"/>
  <c r="J23" i="37"/>
  <c r="E23" i="37"/>
  <c r="AI22" i="37"/>
  <c r="AD22" i="37"/>
  <c r="Y22" i="37"/>
  <c r="T22" i="37"/>
  <c r="O22" i="37"/>
  <c r="J22" i="37"/>
  <c r="E22" i="37"/>
  <c r="AB14" i="37"/>
  <c r="W14" i="37"/>
  <c r="R14" i="37"/>
  <c r="M14" i="37"/>
  <c r="H14" i="37"/>
  <c r="AD13" i="37"/>
  <c r="AC13" i="37"/>
  <c r="AB13" i="37"/>
  <c r="D12" i="37"/>
  <c r="C12" i="37"/>
  <c r="AD11" i="37"/>
  <c r="AC11" i="37"/>
  <c r="AB11" i="37"/>
  <c r="E11" i="37"/>
  <c r="E10" i="37"/>
  <c r="E9" i="37"/>
  <c r="E8" i="37"/>
  <c r="C3" i="35"/>
  <c r="C2" i="35"/>
  <c r="D18" i="35" s="1"/>
  <c r="B1" i="35"/>
  <c r="E65" i="35"/>
  <c r="E48" i="35"/>
  <c r="E47" i="35"/>
  <c r="AI35" i="35"/>
  <c r="AD35" i="35"/>
  <c r="Y35" i="35"/>
  <c r="T35" i="35"/>
  <c r="O35" i="35"/>
  <c r="J35" i="35"/>
  <c r="E35" i="35"/>
  <c r="AI33" i="35"/>
  <c r="AD33" i="35"/>
  <c r="Y33" i="35"/>
  <c r="T33" i="35"/>
  <c r="O33" i="35"/>
  <c r="J33" i="35"/>
  <c r="E33" i="35"/>
  <c r="AI32" i="35"/>
  <c r="AD32" i="35"/>
  <c r="Y32" i="35"/>
  <c r="T32" i="35"/>
  <c r="O32" i="35"/>
  <c r="J32" i="35"/>
  <c r="E32" i="35"/>
  <c r="AI31" i="35"/>
  <c r="AD31" i="35"/>
  <c r="Y31" i="35"/>
  <c r="T31" i="35"/>
  <c r="O31" i="35"/>
  <c r="J31" i="35"/>
  <c r="E31" i="35"/>
  <c r="AI30" i="35"/>
  <c r="AD30" i="35"/>
  <c r="Y30" i="35"/>
  <c r="T30" i="35"/>
  <c r="O30" i="35"/>
  <c r="J30" i="35"/>
  <c r="E30" i="35"/>
  <c r="AI29" i="35"/>
  <c r="AD29" i="35"/>
  <c r="Y29" i="35"/>
  <c r="T29" i="35"/>
  <c r="O29" i="35"/>
  <c r="J29" i="35"/>
  <c r="E29" i="35"/>
  <c r="AI28" i="35"/>
  <c r="AD28" i="35"/>
  <c r="Y28" i="35"/>
  <c r="T28" i="35"/>
  <c r="O28" i="35"/>
  <c r="J28" i="35"/>
  <c r="E28" i="35"/>
  <c r="AI27" i="35"/>
  <c r="AD27" i="35"/>
  <c r="Y27" i="35"/>
  <c r="T27" i="35"/>
  <c r="O27" i="35"/>
  <c r="J27" i="35"/>
  <c r="E27" i="35"/>
  <c r="AI26" i="35"/>
  <c r="AD26" i="35"/>
  <c r="Y26" i="35"/>
  <c r="T26" i="35"/>
  <c r="O26" i="35"/>
  <c r="J26" i="35"/>
  <c r="E26" i="35"/>
  <c r="AI25" i="35"/>
  <c r="AD25" i="35"/>
  <c r="Y25" i="35"/>
  <c r="T25" i="35"/>
  <c r="O25" i="35"/>
  <c r="J25" i="35"/>
  <c r="E25" i="35"/>
  <c r="AI24" i="35"/>
  <c r="AD24" i="35"/>
  <c r="Y24" i="35"/>
  <c r="T24" i="35"/>
  <c r="O24" i="35"/>
  <c r="J24" i="35"/>
  <c r="E24" i="35"/>
  <c r="AI23" i="35"/>
  <c r="AB23" i="35"/>
  <c r="AD23" i="35" s="1"/>
  <c r="Y23" i="35"/>
  <c r="T23" i="35"/>
  <c r="O23" i="35"/>
  <c r="J23" i="35"/>
  <c r="E23" i="35"/>
  <c r="AI22" i="35"/>
  <c r="AD22" i="35"/>
  <c r="Y22" i="35"/>
  <c r="T22" i="35"/>
  <c r="O22" i="35"/>
  <c r="J22" i="35"/>
  <c r="E22" i="35"/>
  <c r="AB14" i="35"/>
  <c r="W14" i="35"/>
  <c r="R14" i="35"/>
  <c r="M14" i="35"/>
  <c r="H14" i="35"/>
  <c r="AD13" i="35"/>
  <c r="AC13" i="35"/>
  <c r="AB13" i="35"/>
  <c r="D12" i="35"/>
  <c r="C12" i="35"/>
  <c r="AD11" i="35"/>
  <c r="AC11" i="35"/>
  <c r="AB11" i="35"/>
  <c r="E11" i="35"/>
  <c r="E10" i="35"/>
  <c r="E9" i="35"/>
  <c r="E8" i="35"/>
  <c r="C3" i="34"/>
  <c r="C2" i="34"/>
  <c r="D18" i="34" s="1"/>
  <c r="B1" i="34"/>
  <c r="E65" i="34"/>
  <c r="E48" i="34"/>
  <c r="E47" i="34"/>
  <c r="AI35" i="34"/>
  <c r="AD35" i="34"/>
  <c r="Y35" i="34"/>
  <c r="T35" i="34"/>
  <c r="O35" i="34"/>
  <c r="J35" i="34"/>
  <c r="E35" i="34"/>
  <c r="AI33" i="34"/>
  <c r="AD33" i="34"/>
  <c r="Y33" i="34"/>
  <c r="T33" i="34"/>
  <c r="O33" i="34"/>
  <c r="J33" i="34"/>
  <c r="AI32" i="34"/>
  <c r="AD32" i="34"/>
  <c r="Y32" i="34"/>
  <c r="T32" i="34"/>
  <c r="O32" i="34"/>
  <c r="J32" i="34"/>
  <c r="AI31" i="34"/>
  <c r="AD31" i="34"/>
  <c r="Y31" i="34"/>
  <c r="T31" i="34"/>
  <c r="O31" i="34"/>
  <c r="J31" i="34"/>
  <c r="AI30" i="34"/>
  <c r="AD30" i="34"/>
  <c r="Y30" i="34"/>
  <c r="T30" i="34"/>
  <c r="O30" i="34"/>
  <c r="J30" i="34"/>
  <c r="AI29" i="34"/>
  <c r="AD29" i="34"/>
  <c r="Y29" i="34"/>
  <c r="T29" i="34"/>
  <c r="O29" i="34"/>
  <c r="J29" i="34"/>
  <c r="AI28" i="34"/>
  <c r="AD28" i="34"/>
  <c r="Y28" i="34"/>
  <c r="T28" i="34"/>
  <c r="O28" i="34"/>
  <c r="J28" i="34"/>
  <c r="AI27" i="34"/>
  <c r="AD27" i="34"/>
  <c r="Y27" i="34"/>
  <c r="T27" i="34"/>
  <c r="O27" i="34"/>
  <c r="J27" i="34"/>
  <c r="AI26" i="34"/>
  <c r="AD26" i="34"/>
  <c r="Y26" i="34"/>
  <c r="T26" i="34"/>
  <c r="O26" i="34"/>
  <c r="J26" i="34"/>
  <c r="AI25" i="34"/>
  <c r="AD25" i="34"/>
  <c r="Y25" i="34"/>
  <c r="T25" i="34"/>
  <c r="O25" i="34"/>
  <c r="J25" i="34"/>
  <c r="AI24" i="34"/>
  <c r="AD24" i="34"/>
  <c r="Y24" i="34"/>
  <c r="T24" i="34"/>
  <c r="O24" i="34"/>
  <c r="J24" i="34"/>
  <c r="AI23" i="34"/>
  <c r="AB23" i="34"/>
  <c r="AD23" i="34" s="1"/>
  <c r="Y23" i="34"/>
  <c r="T23" i="34"/>
  <c r="O23" i="34"/>
  <c r="J23" i="34"/>
  <c r="AI22" i="34"/>
  <c r="AD22" i="34"/>
  <c r="Y22" i="34"/>
  <c r="T22" i="34"/>
  <c r="O22" i="34"/>
  <c r="J22" i="34"/>
  <c r="AB14" i="34"/>
  <c r="W14" i="34"/>
  <c r="R14" i="34"/>
  <c r="M14" i="34"/>
  <c r="H14" i="34"/>
  <c r="AD13" i="34"/>
  <c r="AC13" i="34"/>
  <c r="AB13" i="34"/>
  <c r="D12" i="34"/>
  <c r="C12" i="34"/>
  <c r="AD11" i="34"/>
  <c r="AC11" i="34"/>
  <c r="AB11" i="34"/>
  <c r="E11" i="34"/>
  <c r="E10" i="34"/>
  <c r="E9" i="34"/>
  <c r="E8" i="34"/>
  <c r="C3" i="33"/>
  <c r="C2" i="33"/>
  <c r="D18" i="33" s="1"/>
  <c r="B1" i="33"/>
  <c r="B1" i="32"/>
  <c r="E66" i="33"/>
  <c r="E49" i="33"/>
  <c r="E48" i="33"/>
  <c r="AI36" i="33"/>
  <c r="AD36" i="33"/>
  <c r="Y36" i="33"/>
  <c r="T36" i="33"/>
  <c r="O36" i="33"/>
  <c r="J36" i="33"/>
  <c r="E36" i="33"/>
  <c r="AI34" i="33"/>
  <c r="AD34" i="33"/>
  <c r="Y34" i="33"/>
  <c r="T34" i="33"/>
  <c r="O34" i="33"/>
  <c r="J34" i="33"/>
  <c r="AI32" i="33"/>
  <c r="AD32" i="33"/>
  <c r="Y32" i="33"/>
  <c r="T32" i="33"/>
  <c r="O32" i="33"/>
  <c r="J32" i="33"/>
  <c r="AI31" i="33"/>
  <c r="AD31" i="33"/>
  <c r="Y31" i="33"/>
  <c r="T31" i="33"/>
  <c r="O31" i="33"/>
  <c r="J31" i="33"/>
  <c r="AI30" i="33"/>
  <c r="AD30" i="33"/>
  <c r="Y30" i="33"/>
  <c r="T30" i="33"/>
  <c r="O30" i="33"/>
  <c r="J30" i="33"/>
  <c r="AI29" i="33"/>
  <c r="AD29" i="33"/>
  <c r="Y29" i="33"/>
  <c r="T29" i="33"/>
  <c r="O29" i="33"/>
  <c r="J29" i="33"/>
  <c r="AI28" i="33"/>
  <c r="AD28" i="33"/>
  <c r="Y28" i="33"/>
  <c r="T28" i="33"/>
  <c r="O28" i="33"/>
  <c r="J28" i="33"/>
  <c r="AI27" i="33"/>
  <c r="AD27" i="33"/>
  <c r="Y27" i="33"/>
  <c r="T27" i="33"/>
  <c r="O27" i="33"/>
  <c r="J27" i="33"/>
  <c r="AI26" i="33"/>
  <c r="AD26" i="33"/>
  <c r="Y26" i="33"/>
  <c r="T26" i="33"/>
  <c r="O26" i="33"/>
  <c r="J26" i="33"/>
  <c r="AI25" i="33"/>
  <c r="AD25" i="33"/>
  <c r="Y25" i="33"/>
  <c r="T25" i="33"/>
  <c r="O25" i="33"/>
  <c r="J25" i="33"/>
  <c r="AI24" i="33"/>
  <c r="AD24" i="33"/>
  <c r="Y24" i="33"/>
  <c r="T24" i="33"/>
  <c r="O24" i="33"/>
  <c r="J24" i="33"/>
  <c r="AI23" i="33"/>
  <c r="AD23" i="33"/>
  <c r="Y23" i="33"/>
  <c r="T23" i="33"/>
  <c r="O23" i="33"/>
  <c r="J23" i="33"/>
  <c r="AI22" i="33"/>
  <c r="AD22" i="33"/>
  <c r="Y22" i="33"/>
  <c r="T22" i="33"/>
  <c r="O22" i="33"/>
  <c r="J22" i="33"/>
  <c r="E35" i="33"/>
  <c r="W14" i="33"/>
  <c r="R14" i="33"/>
  <c r="M14" i="33"/>
  <c r="H14" i="33"/>
  <c r="W8" i="1" s="1"/>
  <c r="AD13" i="33"/>
  <c r="AC13" i="33"/>
  <c r="AB13" i="33"/>
  <c r="D12" i="33"/>
  <c r="C12" i="33"/>
  <c r="AD11" i="33"/>
  <c r="AC11" i="33"/>
  <c r="AB11" i="33"/>
  <c r="E11" i="33"/>
  <c r="E10" i="33"/>
  <c r="E9" i="33"/>
  <c r="E8" i="33"/>
  <c r="C3" i="32"/>
  <c r="C2" i="32"/>
  <c r="D18" i="32" s="1"/>
  <c r="E65" i="32"/>
  <c r="E48" i="32"/>
  <c r="E47" i="32"/>
  <c r="AI35" i="32"/>
  <c r="AD35" i="32"/>
  <c r="Y35" i="32"/>
  <c r="T35" i="32"/>
  <c r="O35" i="32"/>
  <c r="J35" i="32"/>
  <c r="E35" i="32"/>
  <c r="AI33" i="32"/>
  <c r="AD33" i="32"/>
  <c r="Y33" i="32"/>
  <c r="T33" i="32"/>
  <c r="O33" i="32"/>
  <c r="J33" i="32"/>
  <c r="AI32" i="32"/>
  <c r="AD32" i="32"/>
  <c r="Y32" i="32"/>
  <c r="T32" i="32"/>
  <c r="O32" i="32"/>
  <c r="J32" i="32"/>
  <c r="AI31" i="32"/>
  <c r="AD31" i="32"/>
  <c r="Y31" i="32"/>
  <c r="T31" i="32"/>
  <c r="O31" i="32"/>
  <c r="J31" i="32"/>
  <c r="AI30" i="32"/>
  <c r="AD30" i="32"/>
  <c r="Y30" i="32"/>
  <c r="T30" i="32"/>
  <c r="O30" i="32"/>
  <c r="J30" i="32"/>
  <c r="AI29" i="32"/>
  <c r="AD29" i="32"/>
  <c r="Y29" i="32"/>
  <c r="T29" i="32"/>
  <c r="O29" i="32"/>
  <c r="J29" i="32"/>
  <c r="AI28" i="32"/>
  <c r="AD28" i="32"/>
  <c r="Y28" i="32"/>
  <c r="T28" i="32"/>
  <c r="O28" i="32"/>
  <c r="J28" i="32"/>
  <c r="AI27" i="32"/>
  <c r="AD27" i="32"/>
  <c r="Y27" i="32"/>
  <c r="T27" i="32"/>
  <c r="O27" i="32"/>
  <c r="J27" i="32"/>
  <c r="AI26" i="32"/>
  <c r="AD26" i="32"/>
  <c r="Y26" i="32"/>
  <c r="T26" i="32"/>
  <c r="O26" i="32"/>
  <c r="J26" i="32"/>
  <c r="AI25" i="32"/>
  <c r="AD25" i="32"/>
  <c r="Y25" i="32"/>
  <c r="T25" i="32"/>
  <c r="O25" i="32"/>
  <c r="J25" i="32"/>
  <c r="AI24" i="32"/>
  <c r="AD24" i="32"/>
  <c r="Y24" i="32"/>
  <c r="T24" i="32"/>
  <c r="O24" i="32"/>
  <c r="J24" i="32"/>
  <c r="AI23" i="32"/>
  <c r="AD23" i="32"/>
  <c r="Y23" i="32"/>
  <c r="T23" i="32"/>
  <c r="O23" i="32"/>
  <c r="J23" i="32"/>
  <c r="AI22" i="32"/>
  <c r="AD22" i="32"/>
  <c r="Y22" i="32"/>
  <c r="T22" i="32"/>
  <c r="O22" i="32"/>
  <c r="J22" i="32"/>
  <c r="W14" i="32"/>
  <c r="R14" i="32"/>
  <c r="M14" i="32"/>
  <c r="H14" i="32"/>
  <c r="AD13" i="32"/>
  <c r="AC13" i="32"/>
  <c r="AB13" i="32"/>
  <c r="C14" i="32"/>
  <c r="T7" i="1" s="1"/>
  <c r="F6" i="71" s="1"/>
  <c r="G6" i="71" s="1"/>
  <c r="AD11" i="32"/>
  <c r="AC11" i="32"/>
  <c r="AB11" i="32"/>
  <c r="AB14" i="32" s="1"/>
  <c r="C2" i="31"/>
  <c r="D18" i="31" s="1"/>
  <c r="B1" i="31"/>
  <c r="E65" i="31"/>
  <c r="E48" i="31"/>
  <c r="E47" i="31"/>
  <c r="AI35" i="31"/>
  <c r="AD35" i="31"/>
  <c r="Y35" i="31"/>
  <c r="T35" i="31"/>
  <c r="O35" i="31"/>
  <c r="J35" i="31"/>
  <c r="E35" i="31"/>
  <c r="AI33" i="31"/>
  <c r="AD33" i="31"/>
  <c r="Y33" i="31"/>
  <c r="T33" i="31"/>
  <c r="O33" i="31"/>
  <c r="J33" i="31"/>
  <c r="AI32" i="31"/>
  <c r="AD32" i="31"/>
  <c r="Y32" i="31"/>
  <c r="T32" i="31"/>
  <c r="O32" i="31"/>
  <c r="J32" i="31"/>
  <c r="AI31" i="31"/>
  <c r="AD31" i="31"/>
  <c r="Y31" i="31"/>
  <c r="T31" i="31"/>
  <c r="O31" i="31"/>
  <c r="J31" i="31"/>
  <c r="AI30" i="31"/>
  <c r="AD30" i="31"/>
  <c r="Y30" i="31"/>
  <c r="T30" i="31"/>
  <c r="O30" i="31"/>
  <c r="J30" i="31"/>
  <c r="AI29" i="31"/>
  <c r="AD29" i="31"/>
  <c r="Y29" i="31"/>
  <c r="T29" i="31"/>
  <c r="O29" i="31"/>
  <c r="J29" i="31"/>
  <c r="AI28" i="31"/>
  <c r="AD28" i="31"/>
  <c r="Y28" i="31"/>
  <c r="T28" i="31"/>
  <c r="O28" i="31"/>
  <c r="J28" i="31"/>
  <c r="AI27" i="31"/>
  <c r="AD27" i="31"/>
  <c r="Y27" i="31"/>
  <c r="T27" i="31"/>
  <c r="O27" i="31"/>
  <c r="J27" i="31"/>
  <c r="AI26" i="31"/>
  <c r="AD26" i="31"/>
  <c r="Y26" i="31"/>
  <c r="T26" i="31"/>
  <c r="O26" i="31"/>
  <c r="J26" i="31"/>
  <c r="AI25" i="31"/>
  <c r="AD25" i="31"/>
  <c r="Y25" i="31"/>
  <c r="T25" i="31"/>
  <c r="O25" i="31"/>
  <c r="J25" i="31"/>
  <c r="AI24" i="31"/>
  <c r="AD24" i="31"/>
  <c r="Y24" i="31"/>
  <c r="T24" i="31"/>
  <c r="O24" i="31"/>
  <c r="J24" i="31"/>
  <c r="AI23" i="31"/>
  <c r="AD23" i="31"/>
  <c r="Y23" i="31"/>
  <c r="T23" i="31"/>
  <c r="O23" i="31"/>
  <c r="J23" i="31"/>
  <c r="AI22" i="31"/>
  <c r="AD22" i="31"/>
  <c r="Y22" i="31"/>
  <c r="T22" i="31"/>
  <c r="O22" i="31"/>
  <c r="J22" i="31"/>
  <c r="AB14" i="31"/>
  <c r="W14" i="31"/>
  <c r="R14" i="31"/>
  <c r="M14" i="31"/>
  <c r="H14" i="31"/>
  <c r="AD13" i="31"/>
  <c r="AC13" i="31"/>
  <c r="AB13" i="31"/>
  <c r="C14" i="31"/>
  <c r="T6" i="1" s="1"/>
  <c r="F5" i="71" s="1"/>
  <c r="G5" i="71" s="1"/>
  <c r="AD11" i="31"/>
  <c r="AC11" i="31"/>
  <c r="AB11" i="31"/>
  <c r="C3" i="30"/>
  <c r="B1" i="30"/>
  <c r="E65" i="30"/>
  <c r="E64" i="30"/>
  <c r="E48" i="30"/>
  <c r="E47" i="30"/>
  <c r="AI35" i="30"/>
  <c r="AD35" i="30"/>
  <c r="Y35" i="30"/>
  <c r="T35" i="30"/>
  <c r="O35" i="30"/>
  <c r="J35" i="30"/>
  <c r="E35" i="30"/>
  <c r="AI33" i="30"/>
  <c r="Y33" i="30"/>
  <c r="T33" i="30"/>
  <c r="O33" i="30"/>
  <c r="J33" i="30"/>
  <c r="AI32" i="30"/>
  <c r="Y32" i="30"/>
  <c r="T32" i="30"/>
  <c r="O32" i="30"/>
  <c r="J32" i="30"/>
  <c r="AI31" i="30"/>
  <c r="Y31" i="30"/>
  <c r="T31" i="30"/>
  <c r="O31" i="30"/>
  <c r="J31" i="30"/>
  <c r="AI30" i="30"/>
  <c r="Y30" i="30"/>
  <c r="T30" i="30"/>
  <c r="O30" i="30"/>
  <c r="J30" i="30"/>
  <c r="AI29" i="30"/>
  <c r="Y29" i="30"/>
  <c r="T29" i="30"/>
  <c r="O29" i="30"/>
  <c r="J29" i="30"/>
  <c r="AI28" i="30"/>
  <c r="Y28" i="30"/>
  <c r="T28" i="30"/>
  <c r="O28" i="30"/>
  <c r="J28" i="30"/>
  <c r="Y27" i="30"/>
  <c r="T27" i="30"/>
  <c r="O27" i="30"/>
  <c r="J27" i="30"/>
  <c r="Y26" i="30"/>
  <c r="T26" i="30"/>
  <c r="O26" i="30"/>
  <c r="J26" i="30"/>
  <c r="Y25" i="30"/>
  <c r="T25" i="30"/>
  <c r="O25" i="30"/>
  <c r="J25" i="30"/>
  <c r="Y24" i="30"/>
  <c r="T24" i="30"/>
  <c r="O24" i="30"/>
  <c r="J24" i="30"/>
  <c r="AB23" i="30"/>
  <c r="AD23" i="30" s="1"/>
  <c r="Y23" i="30"/>
  <c r="T23" i="30"/>
  <c r="O23" i="30"/>
  <c r="J23" i="30"/>
  <c r="Y22" i="30"/>
  <c r="T22" i="30"/>
  <c r="O22" i="30"/>
  <c r="J22" i="30"/>
  <c r="AB14" i="30"/>
  <c r="W14" i="30"/>
  <c r="R14" i="30"/>
  <c r="M14" i="30"/>
  <c r="H14" i="30"/>
  <c r="AD13" i="30"/>
  <c r="AC13" i="30"/>
  <c r="AB13" i="30"/>
  <c r="AD11" i="30"/>
  <c r="AC11" i="30"/>
  <c r="AB11" i="30"/>
  <c r="AB11" i="28"/>
  <c r="AI34" i="40" l="1"/>
  <c r="AI34" i="32"/>
  <c r="T34" i="34"/>
  <c r="O34" i="40"/>
  <c r="AI35" i="33"/>
  <c r="AI37" i="33" s="1"/>
  <c r="AK8" i="1" s="1"/>
  <c r="O35" i="37"/>
  <c r="O37" i="37" s="1"/>
  <c r="N15" i="45" s="1"/>
  <c r="O15" i="45" s="1"/>
  <c r="AI34" i="35"/>
  <c r="AI36" i="35" s="1"/>
  <c r="AK10" i="1" s="1"/>
  <c r="AI34" i="44"/>
  <c r="AI36" i="44" s="1"/>
  <c r="AK18" i="1" s="1"/>
  <c r="E12" i="34"/>
  <c r="C14" i="34" s="1"/>
  <c r="T9" i="1" s="1"/>
  <c r="F8" i="71" s="1"/>
  <c r="G8" i="71" s="1"/>
  <c r="O34" i="34"/>
  <c r="O36" i="34" s="1"/>
  <c r="N13" i="45" s="1"/>
  <c r="O13" i="45" s="1"/>
  <c r="AD34" i="32"/>
  <c r="AD36" i="32" s="1"/>
  <c r="X11" i="45" s="1"/>
  <c r="E12" i="38"/>
  <c r="C14" i="38" s="1"/>
  <c r="T12" i="1" s="1"/>
  <c r="F14" i="71" s="1"/>
  <c r="G14" i="71" s="1"/>
  <c r="E12" i="42"/>
  <c r="C14" i="42" s="1"/>
  <c r="T16" i="1" s="1"/>
  <c r="F12" i="71" s="1"/>
  <c r="G12" i="71" s="1"/>
  <c r="O34" i="35"/>
  <c r="O36" i="35" s="1"/>
  <c r="N14" i="45" s="1"/>
  <c r="O14" i="45" s="1"/>
  <c r="T34" i="30"/>
  <c r="T36" i="30" s="1"/>
  <c r="R9" i="45" s="1"/>
  <c r="C5" i="39"/>
  <c r="E12" i="35"/>
  <c r="C14" i="35" s="1"/>
  <c r="T10" i="1" s="1"/>
  <c r="F9" i="71" s="1"/>
  <c r="G9" i="71" s="1"/>
  <c r="E12" i="37"/>
  <c r="C14" i="37" s="1"/>
  <c r="T11" i="1" s="1"/>
  <c r="F10" i="71" s="1"/>
  <c r="G10" i="71" s="1"/>
  <c r="J34" i="41"/>
  <c r="J36" i="41" s="1"/>
  <c r="V15" i="1" s="1"/>
  <c r="E49" i="42"/>
  <c r="T34" i="44"/>
  <c r="T36" i="44" s="1"/>
  <c r="R22" i="45" s="1"/>
  <c r="AD35" i="33"/>
  <c r="AD37" i="33" s="1"/>
  <c r="O34" i="39"/>
  <c r="O36" i="39" s="1"/>
  <c r="AI34" i="39"/>
  <c r="AD34" i="40"/>
  <c r="AD36" i="40" s="1"/>
  <c r="X18" i="45" s="1"/>
  <c r="O34" i="41"/>
  <c r="O36" i="41" s="1"/>
  <c r="N19" i="45" s="1"/>
  <c r="O19" i="45" s="1"/>
  <c r="AI34" i="41"/>
  <c r="AI36" i="41" s="1"/>
  <c r="AK15" i="1" s="1"/>
  <c r="T34" i="39"/>
  <c r="E12" i="41"/>
  <c r="C14" i="41" s="1"/>
  <c r="T15" i="1" s="1"/>
  <c r="F11" i="71" s="1"/>
  <c r="G11" i="71" s="1"/>
  <c r="O34" i="42"/>
  <c r="AI34" i="42"/>
  <c r="AI36" i="42" s="1"/>
  <c r="AK16" i="1" s="1"/>
  <c r="E12" i="43"/>
  <c r="C14" i="43" s="1"/>
  <c r="T17" i="1" s="1"/>
  <c r="F13" i="71" s="1"/>
  <c r="G13" i="71" s="1"/>
  <c r="T34" i="43"/>
  <c r="T36" i="43" s="1"/>
  <c r="R21" i="45" s="1"/>
  <c r="E12" i="44"/>
  <c r="C14" i="44" s="1"/>
  <c r="T18" i="1" s="1"/>
  <c r="F15" i="71" s="1"/>
  <c r="G15" i="71" s="1"/>
  <c r="E12" i="40"/>
  <c r="C14" i="40" s="1"/>
  <c r="T14" i="1" s="1"/>
  <c r="F25" i="71" s="1"/>
  <c r="G25" i="71" s="1"/>
  <c r="E12" i="39"/>
  <c r="C14" i="39" s="1"/>
  <c r="T13" i="1" s="1"/>
  <c r="F23" i="71" s="1"/>
  <c r="G23" i="71" s="1"/>
  <c r="E12" i="33"/>
  <c r="C14" i="33" s="1"/>
  <c r="T8" i="1" s="1"/>
  <c r="F7" i="71" s="1"/>
  <c r="G7" i="71" s="1"/>
  <c r="O34" i="44"/>
  <c r="O36" i="44" s="1"/>
  <c r="N22" i="45" s="1"/>
  <c r="O22" i="45" s="1"/>
  <c r="J34" i="44"/>
  <c r="J36" i="44" s="1"/>
  <c r="AI34" i="43"/>
  <c r="O34" i="43"/>
  <c r="O36" i="43" s="1"/>
  <c r="J34" i="43"/>
  <c r="J36" i="43" s="1"/>
  <c r="Y34" i="42"/>
  <c r="Y36" i="42" s="1"/>
  <c r="U20" i="45" s="1"/>
  <c r="T34" i="42"/>
  <c r="O36" i="42"/>
  <c r="N20" i="45" s="1"/>
  <c r="O20" i="45" s="1"/>
  <c r="E34" i="42"/>
  <c r="E36" i="42" s="1"/>
  <c r="AD34" i="41"/>
  <c r="T34" i="41"/>
  <c r="T36" i="41" s="1"/>
  <c r="R19" i="45" s="1"/>
  <c r="E66" i="41"/>
  <c r="S15" i="1" s="1"/>
  <c r="T34" i="40"/>
  <c r="T36" i="40" s="1"/>
  <c r="R18" i="45" s="1"/>
  <c r="J34" i="40"/>
  <c r="J36" i="40" s="1"/>
  <c r="E64" i="40"/>
  <c r="E66" i="40" s="1"/>
  <c r="S14" i="1" s="1"/>
  <c r="J34" i="39"/>
  <c r="J36" i="39" s="1"/>
  <c r="AI34" i="38"/>
  <c r="AI36" i="38" s="1"/>
  <c r="AK12" i="1" s="1"/>
  <c r="AD34" i="38"/>
  <c r="AD36" i="38" s="1"/>
  <c r="X16" i="45" s="1"/>
  <c r="T34" i="38"/>
  <c r="T36" i="38" s="1"/>
  <c r="R16" i="45" s="1"/>
  <c r="O34" i="38"/>
  <c r="O36" i="38" s="1"/>
  <c r="N16" i="45" s="1"/>
  <c r="O16" i="45" s="1"/>
  <c r="J34" i="38"/>
  <c r="J36" i="38" s="1"/>
  <c r="V12" i="1" s="1"/>
  <c r="E66" i="38"/>
  <c r="S12" i="1" s="1"/>
  <c r="AI35" i="37"/>
  <c r="AI37" i="37" s="1"/>
  <c r="AK11" i="1" s="1"/>
  <c r="Y35" i="37"/>
  <c r="Y37" i="37" s="1"/>
  <c r="U15" i="45" s="1"/>
  <c r="T35" i="37"/>
  <c r="T37" i="37" s="1"/>
  <c r="R15" i="45" s="1"/>
  <c r="E35" i="37"/>
  <c r="E37" i="37" s="1"/>
  <c r="N11" i="1" s="1"/>
  <c r="Y34" i="35"/>
  <c r="Y36" i="35" s="1"/>
  <c r="U14" i="45" s="1"/>
  <c r="T34" i="35"/>
  <c r="T36" i="35" s="1"/>
  <c r="R14" i="45" s="1"/>
  <c r="E34" i="35"/>
  <c r="E36" i="35" s="1"/>
  <c r="N10" i="1" s="1"/>
  <c r="AI34" i="34"/>
  <c r="AI36" i="34" s="1"/>
  <c r="AK9" i="1" s="1"/>
  <c r="AD34" i="34"/>
  <c r="AD36" i="34" s="1"/>
  <c r="X13" i="45" s="1"/>
  <c r="J34" i="34"/>
  <c r="J36" i="34" s="1"/>
  <c r="O34" i="32"/>
  <c r="O36" i="32" s="1"/>
  <c r="N11" i="45" s="1"/>
  <c r="O11" i="45" s="1"/>
  <c r="AI34" i="31"/>
  <c r="AI36" i="31" s="1"/>
  <c r="T34" i="31"/>
  <c r="O34" i="31"/>
  <c r="O36" i="31" s="1"/>
  <c r="N10" i="45" s="1"/>
  <c r="O10" i="45" s="1"/>
  <c r="J34" i="31"/>
  <c r="J36" i="31" s="1"/>
  <c r="AI34" i="30"/>
  <c r="AI36" i="30" s="1"/>
  <c r="AK5" i="1" s="1"/>
  <c r="Y34" i="30"/>
  <c r="Y36" i="30" s="1"/>
  <c r="U9" i="45" s="1"/>
  <c r="O34" i="30"/>
  <c r="O36" i="30" s="1"/>
  <c r="N9" i="45" s="1"/>
  <c r="O9" i="45" s="1"/>
  <c r="E49" i="30"/>
  <c r="E34" i="30"/>
  <c r="E36" i="30" s="1"/>
  <c r="C5" i="44"/>
  <c r="C5" i="32"/>
  <c r="C17" i="32" s="1"/>
  <c r="C18" i="32" s="1"/>
  <c r="C5" i="34"/>
  <c r="C5" i="35"/>
  <c r="C5" i="37"/>
  <c r="C5" i="38"/>
  <c r="T35" i="33"/>
  <c r="T37" i="33" s="1"/>
  <c r="AB14" i="33"/>
  <c r="AI8" i="1" s="1"/>
  <c r="Y35" i="33"/>
  <c r="Y37" i="33" s="1"/>
  <c r="J35" i="33"/>
  <c r="J37" i="33" s="1"/>
  <c r="V8" i="1" s="1"/>
  <c r="E37" i="33"/>
  <c r="T34" i="32"/>
  <c r="T36" i="32" s="1"/>
  <c r="R11" i="45" s="1"/>
  <c r="J34" i="32"/>
  <c r="J36" i="32" s="1"/>
  <c r="AD34" i="44"/>
  <c r="AD36" i="44" s="1"/>
  <c r="X22" i="45" s="1"/>
  <c r="E64" i="44"/>
  <c r="E66" i="44" s="1"/>
  <c r="S18" i="1" s="1"/>
  <c r="E34" i="44"/>
  <c r="E36" i="44" s="1"/>
  <c r="N18" i="1" s="1"/>
  <c r="Y34" i="44"/>
  <c r="Y36" i="44" s="1"/>
  <c r="U22" i="45" s="1"/>
  <c r="E49" i="44"/>
  <c r="Q18" i="1" s="1"/>
  <c r="C5" i="43"/>
  <c r="AD34" i="43"/>
  <c r="AD36" i="43" s="1"/>
  <c r="X21" i="45" s="1"/>
  <c r="E34" i="43"/>
  <c r="E36" i="43" s="1"/>
  <c r="N17" i="1" s="1"/>
  <c r="Y34" i="43"/>
  <c r="Y36" i="43" s="1"/>
  <c r="U21" i="45" s="1"/>
  <c r="AI36" i="43"/>
  <c r="AK17" i="1" s="1"/>
  <c r="E49" i="43"/>
  <c r="E64" i="43"/>
  <c r="E66" i="43" s="1"/>
  <c r="S17" i="1" s="1"/>
  <c r="C5" i="42"/>
  <c r="T36" i="42"/>
  <c r="R20" i="45" s="1"/>
  <c r="J34" i="42"/>
  <c r="J36" i="42" s="1"/>
  <c r="E64" i="42"/>
  <c r="E66" i="42" s="1"/>
  <c r="S16" i="1" s="1"/>
  <c r="AD34" i="42"/>
  <c r="AD36" i="42" s="1"/>
  <c r="X20" i="45" s="1"/>
  <c r="AD36" i="41"/>
  <c r="X19" i="45" s="1"/>
  <c r="E49" i="41"/>
  <c r="Q15" i="1" s="1"/>
  <c r="Y34" i="41"/>
  <c r="Y36" i="41" s="1"/>
  <c r="U19" i="45" s="1"/>
  <c r="E34" i="41"/>
  <c r="E36" i="41" s="1"/>
  <c r="N15" i="1" s="1"/>
  <c r="C5" i="40"/>
  <c r="E34" i="40"/>
  <c r="E36" i="40" s="1"/>
  <c r="N14" i="1" s="1"/>
  <c r="Y34" i="40"/>
  <c r="Y36" i="40" s="1"/>
  <c r="U18" i="45" s="1"/>
  <c r="O36" i="40"/>
  <c r="N18" i="45" s="1"/>
  <c r="O18" i="45" s="1"/>
  <c r="AI36" i="40"/>
  <c r="E49" i="40"/>
  <c r="T36" i="39"/>
  <c r="R17" i="45" s="1"/>
  <c r="AD34" i="39"/>
  <c r="AD36" i="39" s="1"/>
  <c r="X17" i="45" s="1"/>
  <c r="E64" i="39"/>
  <c r="E66" i="39" s="1"/>
  <c r="S13" i="1" s="1"/>
  <c r="E34" i="39"/>
  <c r="E36" i="39" s="1"/>
  <c r="N13" i="1" s="1"/>
  <c r="Y34" i="39"/>
  <c r="Y36" i="39" s="1"/>
  <c r="U17" i="45" s="1"/>
  <c r="AI36" i="39"/>
  <c r="E49" i="39"/>
  <c r="Q13" i="1" s="1"/>
  <c r="E34" i="38"/>
  <c r="E36" i="38" s="1"/>
  <c r="N12" i="1" s="1"/>
  <c r="Y34" i="38"/>
  <c r="Y36" i="38" s="1"/>
  <c r="U16" i="45" s="1"/>
  <c r="E49" i="38"/>
  <c r="Q12" i="1" s="1"/>
  <c r="E50" i="37"/>
  <c r="Q11" i="1" s="1"/>
  <c r="J35" i="37"/>
  <c r="J37" i="37" s="1"/>
  <c r="V11" i="1" s="1"/>
  <c r="E65" i="37"/>
  <c r="E67" i="37" s="1"/>
  <c r="S11" i="1" s="1"/>
  <c r="AD35" i="37"/>
  <c r="AD37" i="37" s="1"/>
  <c r="X15" i="45" s="1"/>
  <c r="E49" i="35"/>
  <c r="J34" i="35"/>
  <c r="J36" i="35" s="1"/>
  <c r="E64" i="35"/>
  <c r="E66" i="35" s="1"/>
  <c r="S10" i="1" s="1"/>
  <c r="AD34" i="35"/>
  <c r="AD36" i="35" s="1"/>
  <c r="X14" i="45" s="1"/>
  <c r="T36" i="34"/>
  <c r="R13" i="45" s="1"/>
  <c r="E64" i="34"/>
  <c r="E66" i="34" s="1"/>
  <c r="S9" i="1" s="1"/>
  <c r="AL9" i="1" s="1"/>
  <c r="AX9" i="1" s="1"/>
  <c r="AZ9" i="1" s="1"/>
  <c r="E34" i="34"/>
  <c r="E36" i="34" s="1"/>
  <c r="Y34" i="34"/>
  <c r="Y36" i="34" s="1"/>
  <c r="U13" i="45" s="1"/>
  <c r="E49" i="34"/>
  <c r="C5" i="33"/>
  <c r="E65" i="33"/>
  <c r="E67" i="33" s="1"/>
  <c r="S8" i="1" s="1"/>
  <c r="O35" i="33"/>
  <c r="O37" i="33" s="1"/>
  <c r="E50" i="33"/>
  <c r="Q8" i="1" s="1"/>
  <c r="E64" i="32"/>
  <c r="E66" i="32" s="1"/>
  <c r="S7" i="1" s="1"/>
  <c r="E34" i="32"/>
  <c r="E36" i="32" s="1"/>
  <c r="N7" i="1" s="1"/>
  <c r="Y34" i="32"/>
  <c r="Y36" i="32" s="1"/>
  <c r="U11" i="45" s="1"/>
  <c r="AI36" i="32"/>
  <c r="E49" i="32"/>
  <c r="Q7" i="1" s="1"/>
  <c r="AD34" i="31"/>
  <c r="AD36" i="31" s="1"/>
  <c r="X10" i="45" s="1"/>
  <c r="T36" i="31"/>
  <c r="R10" i="45" s="1"/>
  <c r="E34" i="31"/>
  <c r="E36" i="31" s="1"/>
  <c r="N6" i="1" s="1"/>
  <c r="Y34" i="31"/>
  <c r="Y36" i="31" s="1"/>
  <c r="U10" i="45" s="1"/>
  <c r="E49" i="31"/>
  <c r="Q6" i="1" s="1"/>
  <c r="E64" i="31"/>
  <c r="E66" i="31" s="1"/>
  <c r="S6" i="1" s="1"/>
  <c r="E66" i="30"/>
  <c r="J34" i="30"/>
  <c r="J36" i="30" s="1"/>
  <c r="AD34" i="30"/>
  <c r="AD36" i="30" s="1"/>
  <c r="X9" i="45" s="1"/>
  <c r="G31" i="71" l="1"/>
  <c r="G33" i="71" s="1"/>
  <c r="AL16" i="1"/>
  <c r="AX16" i="1" s="1"/>
  <c r="AZ16" i="1" s="1"/>
  <c r="N17" i="45"/>
  <c r="O17" i="45" s="1"/>
  <c r="Y13" i="1"/>
  <c r="AL13" i="1" s="1"/>
  <c r="AX13" i="1" s="1"/>
  <c r="AZ13" i="1" s="1"/>
  <c r="AL12" i="1"/>
  <c r="AX12" i="1" s="1"/>
  <c r="AZ12" i="1" s="1"/>
  <c r="V34" i="1"/>
  <c r="N21" i="45"/>
  <c r="O21" i="45" s="1"/>
  <c r="Y17" i="1"/>
  <c r="AL10" i="1"/>
  <c r="AX10" i="1" s="1"/>
  <c r="AZ10" i="1" s="1"/>
  <c r="C17" i="38"/>
  <c r="C18" i="38" s="1"/>
  <c r="C17" i="43"/>
  <c r="C18" i="43" s="1"/>
  <c r="AL11" i="1"/>
  <c r="AX11" i="1" s="1"/>
  <c r="AZ11" i="1" s="1"/>
  <c r="C17" i="37"/>
  <c r="C18" i="37" s="1"/>
  <c r="C17" i="35"/>
  <c r="C18" i="35" s="1"/>
  <c r="C17" i="42"/>
  <c r="C18" i="42" s="1"/>
  <c r="C17" i="34"/>
  <c r="C18" i="34" s="1"/>
  <c r="C17" i="44"/>
  <c r="C18" i="44" s="1"/>
  <c r="C17" i="40"/>
  <c r="C18" i="40" s="1"/>
  <c r="AL5" i="1"/>
  <c r="AX5" i="1" s="1"/>
  <c r="AZ5" i="1" s="1"/>
  <c r="AH8" i="1"/>
  <c r="X12" i="45"/>
  <c r="F16" i="45"/>
  <c r="AE8" i="1"/>
  <c r="U12" i="45"/>
  <c r="AB8" i="1"/>
  <c r="R12" i="45"/>
  <c r="Y8" i="1"/>
  <c r="N12" i="45"/>
  <c r="O12" i="45" s="1"/>
  <c r="AL6" i="1"/>
  <c r="AX6" i="1" s="1"/>
  <c r="AZ6" i="1" s="1"/>
  <c r="F20" i="45"/>
  <c r="F18" i="45"/>
  <c r="Q14" i="1"/>
  <c r="AL14" i="1" s="1"/>
  <c r="AX14" i="1" s="1"/>
  <c r="AZ14" i="1" s="1"/>
  <c r="AL18" i="1"/>
  <c r="AX18" i="1" s="1"/>
  <c r="AZ18" i="1" s="1"/>
  <c r="AL15" i="1"/>
  <c r="AX15" i="1" s="1"/>
  <c r="AZ15" i="1" s="1"/>
  <c r="F19" i="45"/>
  <c r="G19" i="45" s="1"/>
  <c r="C17" i="39"/>
  <c r="C18" i="39" s="1"/>
  <c r="F17" i="45"/>
  <c r="C17" i="33"/>
  <c r="C18" i="33" s="1"/>
  <c r="AL7" i="1"/>
  <c r="AX7" i="1" s="1"/>
  <c r="F22" i="45"/>
  <c r="F21" i="45"/>
  <c r="F15" i="45"/>
  <c r="F14" i="45"/>
  <c r="F13" i="45"/>
  <c r="N8" i="1"/>
  <c r="F12" i="45"/>
  <c r="F11" i="45"/>
  <c r="F10" i="45"/>
  <c r="F9" i="45"/>
  <c r="G9" i="45" s="1"/>
  <c r="AC9" i="45" s="1"/>
  <c r="Y34" i="1" l="1"/>
  <c r="AL17" i="1"/>
  <c r="AX17" i="1" s="1"/>
  <c r="AZ17" i="1" s="1"/>
  <c r="AL8" i="1"/>
  <c r="AX8" i="1" s="1"/>
  <c r="AZ8" i="1" s="1"/>
  <c r="C2" i="41"/>
  <c r="C2" i="30"/>
  <c r="C3" i="31"/>
  <c r="C5" i="31" s="1"/>
  <c r="C17" i="31" s="1"/>
  <c r="C18" i="31" s="1"/>
  <c r="D18" i="30" l="1"/>
  <c r="C5" i="30"/>
  <c r="C17" i="30" s="1"/>
  <c r="C18" i="30" s="1"/>
  <c r="D18" i="41"/>
  <c r="C5" i="41"/>
  <c r="C17" i="41" s="1"/>
  <c r="C18" i="41" s="1"/>
  <c r="AI35" i="28"/>
  <c r="AI33" i="28"/>
  <c r="AI32" i="28"/>
  <c r="AI31" i="28"/>
  <c r="AI30" i="28"/>
  <c r="AI29" i="28"/>
  <c r="AI28" i="28"/>
  <c r="AI27" i="28"/>
  <c r="AI26" i="28"/>
  <c r="AI25" i="28"/>
  <c r="AI24" i="28"/>
  <c r="AI23" i="28"/>
  <c r="AI22" i="28"/>
  <c r="AB14" i="28"/>
  <c r="AC13" i="28"/>
  <c r="AD13" i="28"/>
  <c r="AB13" i="28"/>
  <c r="AC11" i="28"/>
  <c r="AD11" i="28"/>
  <c r="AI34" i="28" l="1"/>
  <c r="AI36" i="28" s="1"/>
  <c r="AK4" i="1" s="1"/>
  <c r="AK34" i="1" s="1"/>
  <c r="AD35" i="28" l="1"/>
  <c r="AD33" i="28"/>
  <c r="AD32" i="28"/>
  <c r="AD31" i="28"/>
  <c r="AD30" i="28"/>
  <c r="AD29" i="28"/>
  <c r="AD28" i="28"/>
  <c r="AD27" i="28"/>
  <c r="AD26" i="28"/>
  <c r="AD25" i="28"/>
  <c r="AD24" i="28"/>
  <c r="AD23" i="28"/>
  <c r="AD22" i="28"/>
  <c r="Y35" i="28"/>
  <c r="Y33" i="28"/>
  <c r="Y32" i="28"/>
  <c r="Y31" i="28"/>
  <c r="Y30" i="28"/>
  <c r="Y29" i="28"/>
  <c r="Y28" i="28"/>
  <c r="Y27" i="28"/>
  <c r="Y26" i="28"/>
  <c r="Y25" i="28"/>
  <c r="Y24" i="28"/>
  <c r="Y23" i="28"/>
  <c r="Y22" i="28"/>
  <c r="W14" i="28"/>
  <c r="M14" i="28"/>
  <c r="R14" i="28"/>
  <c r="T26" i="28"/>
  <c r="O26" i="28"/>
  <c r="J26" i="28"/>
  <c r="E26" i="28"/>
  <c r="T25" i="28"/>
  <c r="O25" i="28"/>
  <c r="J25" i="28"/>
  <c r="E25" i="28"/>
  <c r="T24" i="28"/>
  <c r="O24" i="28"/>
  <c r="J24" i="28"/>
  <c r="E24" i="28"/>
  <c r="T35" i="28"/>
  <c r="T33" i="28"/>
  <c r="T32" i="28"/>
  <c r="T31" i="28"/>
  <c r="T30" i="28"/>
  <c r="T29" i="28"/>
  <c r="T28" i="28"/>
  <c r="T27" i="28"/>
  <c r="T23" i="28"/>
  <c r="T22" i="28"/>
  <c r="O23" i="28"/>
  <c r="O35" i="28"/>
  <c r="O33" i="28"/>
  <c r="O32" i="28"/>
  <c r="O31" i="28"/>
  <c r="O30" i="28"/>
  <c r="O29" i="28"/>
  <c r="O28" i="28"/>
  <c r="O27" i="28"/>
  <c r="O22" i="28"/>
  <c r="H14" i="28"/>
  <c r="J35" i="28"/>
  <c r="J33" i="28"/>
  <c r="J32" i="28"/>
  <c r="J31" i="28"/>
  <c r="J30" i="28"/>
  <c r="J29" i="28"/>
  <c r="J28" i="28"/>
  <c r="J27" i="28"/>
  <c r="J23" i="28"/>
  <c r="J22" i="28"/>
  <c r="E65" i="28"/>
  <c r="E48" i="28"/>
  <c r="E30" i="28"/>
  <c r="E31" i="28"/>
  <c r="E32" i="28"/>
  <c r="E35" i="28"/>
  <c r="E23" i="28"/>
  <c r="E33" i="28"/>
  <c r="C3" i="28"/>
  <c r="C2" i="28"/>
  <c r="D18" i="28" s="1"/>
  <c r="B1" i="28"/>
  <c r="T34" i="28" l="1"/>
  <c r="T36" i="28" s="1"/>
  <c r="AD34" i="28"/>
  <c r="AD36" i="28" s="1"/>
  <c r="X8" i="45" s="1"/>
  <c r="Y34" i="28"/>
  <c r="Y36" i="28" s="1"/>
  <c r="O34" i="28"/>
  <c r="O36" i="28" s="1"/>
  <c r="J34" i="28"/>
  <c r="J36" i="28" s="1"/>
  <c r="E47" i="28"/>
  <c r="E49" i="28" s="1"/>
  <c r="Q4" i="1" s="1"/>
  <c r="Q34" i="1" s="1"/>
  <c r="E64" i="28"/>
  <c r="E66" i="28" s="1"/>
  <c r="S4" i="1" s="1"/>
  <c r="S34" i="1" s="1"/>
  <c r="E34" i="28"/>
  <c r="E36" i="28" s="1"/>
  <c r="N4" i="1" s="1"/>
  <c r="N34" i="1" s="1"/>
  <c r="C5" i="28"/>
  <c r="Y8" i="45" l="1"/>
  <c r="R8" i="45"/>
  <c r="S8" i="45" s="1"/>
  <c r="S39" i="45" s="1"/>
  <c r="N8" i="45"/>
  <c r="O8" i="45" s="1"/>
  <c r="O39" i="45" s="1"/>
  <c r="U8" i="45"/>
  <c r="V8" i="45" s="1"/>
  <c r="V39" i="45" s="1"/>
  <c r="G11" i="45"/>
  <c r="G13" i="45"/>
  <c r="G15" i="45"/>
  <c r="AC15" i="45" s="1"/>
  <c r="G17" i="45"/>
  <c r="AC19" i="45"/>
  <c r="G21" i="45"/>
  <c r="AC21" i="45" s="1"/>
  <c r="G10" i="45"/>
  <c r="G12" i="45"/>
  <c r="AC12" i="45" s="1"/>
  <c r="G14" i="45"/>
  <c r="AC14" i="45" s="1"/>
  <c r="G16" i="45"/>
  <c r="AC16" i="45" s="1"/>
  <c r="G18" i="45"/>
  <c r="G20" i="45"/>
  <c r="G22" i="45"/>
  <c r="AL4" i="1"/>
  <c r="C17" i="28"/>
  <c r="C18" i="28" s="1"/>
  <c r="AL34" i="1" l="1"/>
  <c r="AX4" i="1"/>
  <c r="AC20" i="45"/>
  <c r="AC10" i="45"/>
  <c r="AC13" i="45"/>
  <c r="AC22" i="45"/>
  <c r="AC11" i="45"/>
  <c r="AC18" i="45"/>
  <c r="AC17" i="45"/>
  <c r="Y39" i="45"/>
  <c r="AC8" i="45"/>
  <c r="AM11" i="1"/>
  <c r="AM18" i="1"/>
  <c r="AM17" i="1"/>
  <c r="AM16" i="1"/>
  <c r="AM15" i="1"/>
  <c r="AM14" i="1"/>
  <c r="AN14" i="1" s="1"/>
  <c r="AO14" i="1" s="1"/>
  <c r="AM13" i="1"/>
  <c r="AN13" i="1" s="1"/>
  <c r="AO13" i="1" s="1"/>
  <c r="AM12" i="1"/>
  <c r="AM10" i="1"/>
  <c r="AM9" i="1"/>
  <c r="AM8" i="1"/>
  <c r="AM5" i="1"/>
  <c r="AN5" i="1" s="1"/>
  <c r="AP16" i="1" l="1"/>
  <c r="AP14" i="1"/>
  <c r="AP6" i="1"/>
  <c r="AP7" i="1"/>
  <c r="AP18" i="1"/>
  <c r="AP9" i="1"/>
  <c r="AX35" i="1"/>
  <c r="AZ35" i="1" s="1"/>
  <c r="AZ4" i="1"/>
  <c r="AP13" i="1"/>
  <c r="AO5" i="1"/>
  <c r="AP5" i="1"/>
  <c r="AC39" i="45"/>
  <c r="AM4" i="1"/>
  <c r="G34" i="1"/>
  <c r="G39" i="45"/>
  <c r="AN18" i="1"/>
  <c r="AO18" i="1" s="1"/>
  <c r="AN10" i="1"/>
  <c r="AP10" i="1" s="1"/>
  <c r="AN15" i="1"/>
  <c r="AP15" i="1" s="1"/>
  <c r="AN11" i="1"/>
  <c r="AM6" i="1"/>
  <c r="AN6" i="1" s="1"/>
  <c r="AM7" i="1"/>
  <c r="AN12" i="1"/>
  <c r="AN16" i="1"/>
  <c r="AO16" i="1" s="1"/>
  <c r="AN9" i="1"/>
  <c r="AO9" i="1" s="1"/>
  <c r="AN8" i="1"/>
  <c r="AP8" i="1" s="1"/>
  <c r="AN17" i="1"/>
  <c r="AL41" i="1" l="1"/>
  <c r="AM34" i="1"/>
  <c r="AN4" i="1"/>
  <c r="AP4" i="1" s="1"/>
  <c r="AO10" i="1"/>
  <c r="AO8" i="1"/>
  <c r="AO17" i="1"/>
  <c r="AP17" i="1"/>
  <c r="AO12" i="1"/>
  <c r="AP12" i="1"/>
  <c r="AO11" i="1"/>
  <c r="AP11" i="1"/>
  <c r="AO6" i="1"/>
  <c r="AN7" i="1"/>
  <c r="AO15" i="1"/>
  <c r="AH34" i="1"/>
  <c r="AO4" i="1" l="1"/>
  <c r="AN34" i="1"/>
  <c r="AP34" i="1"/>
  <c r="AO7" i="1"/>
  <c r="AB34" i="1"/>
  <c r="AE34" i="1" l="1"/>
  <c r="AL36" i="1" l="1"/>
  <c r="AL38" i="1" s="1"/>
  <c r="AP38" i="1" l="1"/>
  <c r="AO38" i="1"/>
  <c r="AO34" i="1"/>
</calcChain>
</file>

<file path=xl/comments1.xml><?xml version="1.0" encoding="utf-8"?>
<comments xmlns="http://schemas.openxmlformats.org/spreadsheetml/2006/main">
  <authors>
    <author>Nicola Cappellato</author>
  </authors>
  <commentList>
    <comment ref="D25" authorId="0" shapeId="0">
      <text>
        <r>
          <rPr>
            <b/>
            <sz val="9"/>
            <color indexed="81"/>
            <rFont val="Tahoma"/>
            <family val="2"/>
          </rPr>
          <t>Nicola Cappellato:</t>
        </r>
        <r>
          <rPr>
            <sz val="9"/>
            <color indexed="81"/>
            <rFont val="Tahoma"/>
            <family val="2"/>
          </rPr>
          <t xml:space="preserve">
Da tenere cambio caldaia ed eventualmente eliminare i terminali di impianto.</t>
        </r>
      </text>
    </comment>
  </commentList>
</comments>
</file>

<file path=xl/sharedStrings.xml><?xml version="1.0" encoding="utf-8"?>
<sst xmlns="http://schemas.openxmlformats.org/spreadsheetml/2006/main" count="5203" uniqueCount="509">
  <si>
    <t>Descrizione</t>
  </si>
  <si>
    <t>Via</t>
  </si>
  <si>
    <t>Rilievo eseguito</t>
  </si>
  <si>
    <t>Potenza CT
kW</t>
  </si>
  <si>
    <t>DIAGNOSI</t>
  </si>
  <si>
    <t>Sup. Calpestabile</t>
  </si>
  <si>
    <t>Vol. Riscaldato</t>
  </si>
  <si>
    <t>SI</t>
  </si>
  <si>
    <t>Costo</t>
  </si>
  <si>
    <t>LED</t>
  </si>
  <si>
    <t>SOLARE</t>
  </si>
  <si>
    <t>TERMOSTATICHE</t>
  </si>
  <si>
    <t>TELECONTROLLO</t>
  </si>
  <si>
    <t>CAPPOTTO</t>
  </si>
  <si>
    <t>SERRAMENTI</t>
  </si>
  <si>
    <t>EXTRA</t>
  </si>
  <si>
    <t>Volumetria lorda:</t>
  </si>
  <si>
    <t>Potenza focolare installata:</t>
  </si>
  <si>
    <t>kW</t>
  </si>
  <si>
    <t>Potenza volumica installata:</t>
  </si>
  <si>
    <r>
      <t>W/m</t>
    </r>
    <r>
      <rPr>
        <vertAlign val="superscript"/>
        <sz val="11"/>
        <color indexed="8"/>
        <rFont val="Calibri"/>
        <family val="2"/>
      </rPr>
      <t>3</t>
    </r>
  </si>
  <si>
    <t xml:space="preserve"> kW</t>
  </si>
  <si>
    <t>TOTALE</t>
  </si>
  <si>
    <t>Imprevisti</t>
  </si>
  <si>
    <t>Rendimenti secondo UNI 11300-2:2014</t>
  </si>
  <si>
    <t>Generazione</t>
  </si>
  <si>
    <t>Regolazione</t>
  </si>
  <si>
    <t>Distribuzione</t>
  </si>
  <si>
    <t>Emissione</t>
  </si>
  <si>
    <t>Attuale</t>
  </si>
  <si>
    <t>Previsto</t>
  </si>
  <si>
    <t>Rendimento medio stagionale:</t>
  </si>
  <si>
    <t>IMPIANTO SOLARE</t>
  </si>
  <si>
    <t>VALVOLE TERMOSTATICHE</t>
  </si>
  <si>
    <t>Risparmio</t>
  </si>
  <si>
    <t>Numero lampade:</t>
  </si>
  <si>
    <t>Nuova potenza media lampade:</t>
  </si>
  <si>
    <t>Tramittanza media pareti esistenti:</t>
  </si>
  <si>
    <t>Trasmittanza media pareti riqualificate:</t>
  </si>
  <si>
    <t>Trasmittanza media copertura/sottotetto riqualif.:</t>
  </si>
  <si>
    <t>Trasmittanza media copertura/sottotetto esist.:</t>
  </si>
  <si>
    <t>Trasmittanza media serramenti esistenti:</t>
  </si>
  <si>
    <t>Trasmittenza media serramenti riqualificati:</t>
  </si>
  <si>
    <t>Stima risparmio isolamento copertura/sottotetto:</t>
  </si>
  <si>
    <t>COPERTURA/
SOTTOTETTO</t>
  </si>
  <si>
    <t>COPERTURA/SOTTOTETTO</t>
  </si>
  <si>
    <t>Stima risparmio energia elettrica:</t>
  </si>
  <si>
    <t>Risparmio stimato su impianto riscaldamento:</t>
  </si>
  <si>
    <t>Percentuale sanitario sui consumi:</t>
  </si>
  <si>
    <t>Percentuale copertura sanitario con solare:</t>
  </si>
  <si>
    <t>Stima risparmio impianto solare:</t>
  </si>
  <si>
    <t>Rimozione lampade esistenti</t>
  </si>
  <si>
    <t>Nuove lampade a led</t>
  </si>
  <si>
    <t>Manodopera</t>
  </si>
  <si>
    <t>CAMBIO
COMBUSTIBILE</t>
  </si>
  <si>
    <t>Stima Risparmio
IMPIANTO</t>
  </si>
  <si>
    <t>Stima Risparmio
SOLARE</t>
  </si>
  <si>
    <t>Stima Risparmio
COPERTURA</t>
  </si>
  <si>
    <t>Stima Risparmio
CAPPOTTO</t>
  </si>
  <si>
    <t>Stima Risparmio
SERRAMENTI</t>
  </si>
  <si>
    <t>Stima Risparmio
ILLUMINAZIONE</t>
  </si>
  <si>
    <t>TELECONTROLLO O REGOLAZIONE</t>
  </si>
  <si>
    <t>Risparmio su consumo di gas</t>
  </si>
  <si>
    <t>Tempo di recupero senza Extra</t>
  </si>
  <si>
    <t>Con Conto Termico</t>
  </si>
  <si>
    <t>Nuovo consumo di gas equivalente</t>
  </si>
  <si>
    <t>Risparmio economico</t>
  </si>
  <si>
    <t>Tempo di recupero</t>
  </si>
  <si>
    <t>COSTI VETTORI ENERGETICI IPOTIZZATI</t>
  </si>
  <si>
    <t>GAS</t>
  </si>
  <si>
    <t>€/Nmc</t>
  </si>
  <si>
    <t>En.El.</t>
  </si>
  <si>
    <t>€ kWh</t>
  </si>
  <si>
    <t>Gasolio</t>
  </si>
  <si>
    <t>€/Lt</t>
  </si>
  <si>
    <t>TOTALE COSTO</t>
  </si>
  <si>
    <t>Consumo</t>
  </si>
  <si>
    <t>Utenza</t>
  </si>
  <si>
    <t>Combustibile</t>
  </si>
  <si>
    <t>CH4</t>
  </si>
  <si>
    <t>CENTRALE TERMICA/IMPIANTO</t>
  </si>
  <si>
    <t>CALDAIA/IMPIANTO</t>
  </si>
  <si>
    <t>NO</t>
  </si>
  <si>
    <t>Risparmio extra:</t>
  </si>
  <si>
    <t>Quadro tlc</t>
  </si>
  <si>
    <t>Risparmio economico sul combustibile</t>
  </si>
  <si>
    <t>di cui impiegata per sanitario:</t>
  </si>
  <si>
    <t>Q.tà</t>
  </si>
  <si>
    <t>Unitario</t>
  </si>
  <si>
    <t>Totale</t>
  </si>
  <si>
    <t>Progettazione+DL</t>
  </si>
  <si>
    <t>Nuova potenza volumica:</t>
  </si>
  <si>
    <t>Nuova potenza al focolare:</t>
  </si>
  <si>
    <t>Voluta</t>
  </si>
  <si>
    <t>Nuova potenza impianto:</t>
  </si>
  <si>
    <t>Sonde ambiente</t>
  </si>
  <si>
    <t>Sonde temeperatura</t>
  </si>
  <si>
    <t>Preved.</t>
  </si>
  <si>
    <t>Superficie lorda copertura/sottotetto:</t>
  </si>
  <si>
    <t>Percentuale riduzione ad area netta:</t>
  </si>
  <si>
    <t>% dispersioni da trasmissione su totale:</t>
  </si>
  <si>
    <t>% copertura/sottotetto su trasmissione:</t>
  </si>
  <si>
    <t>Apprestamenti per sicurezza</t>
  </si>
  <si>
    <t>% muratura su trasmissione:</t>
  </si>
  <si>
    <r>
      <t xml:space="preserve">Superficie esterna perimetrale </t>
    </r>
    <r>
      <rPr>
        <b/>
        <u/>
        <sz val="11"/>
        <color theme="1"/>
        <rFont val="Calibri"/>
        <family val="2"/>
        <scheme val="minor"/>
      </rPr>
      <t>lorda</t>
    </r>
    <r>
      <rPr>
        <sz val="11"/>
        <color theme="1"/>
        <rFont val="Calibri"/>
        <family val="2"/>
        <scheme val="minor"/>
      </rPr>
      <t>:</t>
    </r>
  </si>
  <si>
    <t>Stima risparmio isolamento cappotto:</t>
  </si>
  <si>
    <t>Superficie serramenti:</t>
  </si>
  <si>
    <t>Stima risparmio serramenti:</t>
  </si>
  <si>
    <t>Potenza media attuale:</t>
  </si>
  <si>
    <t>Totale potenza attuale presente:</t>
  </si>
  <si>
    <t>Nuovo totale potenza lampade:</t>
  </si>
  <si>
    <t>LAMPADE LED</t>
  </si>
  <si>
    <t>NUMERO IMPIANTO COMMESSA</t>
  </si>
  <si>
    <t>NUMERO FOGLIO</t>
  </si>
  <si>
    <t xml:space="preserve"> Q.tà</t>
  </si>
  <si>
    <t>OIL</t>
  </si>
  <si>
    <t>GENERATORI A CONDENSAZIONE</t>
  </si>
  <si>
    <t>Costo ammissibile interventi D.M. 16/02/2016 - P &gt; 35 kW</t>
  </si>
  <si>
    <t>€/kWt</t>
  </si>
  <si>
    <t>Costo ammissibile interventi D.M. 16/02/2016 - P &lt; 35 kW</t>
  </si>
  <si>
    <t>Percentuale di spesa incentivata</t>
  </si>
  <si>
    <t>Valore massimo incentivo - P &gt; 35 kW</t>
  </si>
  <si>
    <t>€</t>
  </si>
  <si>
    <t>Valore massimo incentivo - P &lt; 35 kW</t>
  </si>
  <si>
    <t>POTENZA NUOVI GENERATORI</t>
  </si>
  <si>
    <t>COSTO INTERVENTO GENERATORE</t>
  </si>
  <si>
    <t>CONTRIBUTO CALDAIE CONDENSAZIONE</t>
  </si>
  <si>
    <t>CONTRIBUTI CONTO TERMICO</t>
  </si>
  <si>
    <t>CAPPOTTI</t>
  </si>
  <si>
    <t>Costo ammissibile isolamento esterno</t>
  </si>
  <si>
    <t>€/m²</t>
  </si>
  <si>
    <t>Valore massimo incentivo</t>
  </si>
  <si>
    <t>Costo ammissibile isolamento interno</t>
  </si>
  <si>
    <t>TIPO DI CAPPOTTO</t>
  </si>
  <si>
    <t>CONTRIBUTO CAPPOTTO</t>
  </si>
  <si>
    <t>SUP.</t>
  </si>
  <si>
    <t>SPESA</t>
  </si>
  <si>
    <t>CONTRIBUTO COPERTURA</t>
  </si>
  <si>
    <t>Costo ammissibile</t>
  </si>
  <si>
    <t>TIPO DI ISOLAMENTO COPERTURA</t>
  </si>
  <si>
    <t>CONTRIBUTO SERRAMENTI</t>
  </si>
  <si>
    <t>CONTRIBUTO LED</t>
  </si>
  <si>
    <t>SUPUPERFICIE UTILE</t>
  </si>
  <si>
    <t>Municipio</t>
  </si>
  <si>
    <t>Ca' Emo</t>
  </si>
  <si>
    <t>S. Paolo Museo - Ex Chiesa</t>
  </si>
  <si>
    <t>Biblioteca</t>
  </si>
  <si>
    <t>Palestra G.Cini/Tortorini</t>
  </si>
  <si>
    <t>Scuola Materna Tortorini</t>
  </si>
  <si>
    <t>Scuola Elementare Giorgio Cini</t>
  </si>
  <si>
    <t>Associazione Itaka</t>
  </si>
  <si>
    <t>Chiesetta Solario</t>
  </si>
  <si>
    <t>Scuola Materna S.M. Goretti</t>
  </si>
  <si>
    <t>Scuola Materna S.M. Carmine</t>
  </si>
  <si>
    <t>Scuola Elementare V.Emanuele</t>
  </si>
  <si>
    <t>Scuola Elementare Vittorio Cini</t>
  </si>
  <si>
    <t>Scuola Elementare D. Valeri</t>
  </si>
  <si>
    <t>Scuola Elementare D. Manin</t>
  </si>
  <si>
    <t>Scuola Elementare B. Bussolin - Scuola e Mensa</t>
  </si>
  <si>
    <t>Istituto Comprensivo G.Zanellato - Elementare, Media e Mensa</t>
  </si>
  <si>
    <t>Scuola Media G. Gunizzelli</t>
  </si>
  <si>
    <t>Associazione Alpini</t>
  </si>
  <si>
    <t>Associazioni S.Filippo</t>
  </si>
  <si>
    <t>Magazzino Comunale</t>
  </si>
  <si>
    <t>Palasport Schiavonia</t>
  </si>
  <si>
    <t>Casa Associazioni</t>
  </si>
  <si>
    <t>Associazioni</t>
  </si>
  <si>
    <t>Ex Canonica Di Marendole</t>
  </si>
  <si>
    <t>S. Paolo Museo - Uffici</t>
  </si>
  <si>
    <t>Centro La Ginestra / Casa Albergo</t>
  </si>
  <si>
    <t>Via Santarello/Via Tassello, 13</t>
  </si>
  <si>
    <t>Demolizione e smaltimento</t>
  </si>
  <si>
    <t>Caldaia</t>
  </si>
  <si>
    <t>Kit scarico condesa</t>
  </si>
  <si>
    <t>Pompa alta prevalenza</t>
  </si>
  <si>
    <t>tronchetto INAIL</t>
  </si>
  <si>
    <t>telaio</t>
  </si>
  <si>
    <t>scambiatore 135 kW</t>
  </si>
  <si>
    <t>copertura scambiatore</t>
  </si>
  <si>
    <t>neutralizzatore</t>
  </si>
  <si>
    <t>1 x Condexa pro 90</t>
  </si>
  <si>
    <t>Listino</t>
  </si>
  <si>
    <t>Scontato</t>
  </si>
  <si>
    <t>Sconto</t>
  </si>
  <si>
    <t>Trasporto</t>
  </si>
  <si>
    <t>INAIL e rete gas</t>
  </si>
  <si>
    <t>Tubazioni e raccordi</t>
  </si>
  <si>
    <t>1 x tau unit 100</t>
  </si>
  <si>
    <t>Scambiatore SP35DN50 31p</t>
  </si>
  <si>
    <t>Piedini P2</t>
  </si>
  <si>
    <t>Coibentazione C17</t>
  </si>
  <si>
    <t>Riello TAU UNIT 100 + scambiatore</t>
  </si>
  <si>
    <t>Magna3 32-80</t>
  </si>
  <si>
    <t>Portata</t>
  </si>
  <si>
    <t>Prevalenza</t>
  </si>
  <si>
    <t>Pompa primaria Magna3 32-80</t>
  </si>
  <si>
    <t>Canale fumi e camino Diam. 110</t>
  </si>
  <si>
    <t>Lavaggio impianto</t>
  </si>
  <si>
    <t>Trasformazione vaso chiuso + nuovi vasi</t>
  </si>
  <si>
    <t>Valvole termostatiche</t>
  </si>
  <si>
    <t>XTC638+ACB460</t>
  </si>
  <si>
    <t>XCC618+ACB400</t>
  </si>
  <si>
    <t>SAE001</t>
  </si>
  <si>
    <t>SAB010</t>
  </si>
  <si>
    <t>SIH010</t>
  </si>
  <si>
    <t>SAF010</t>
  </si>
  <si>
    <t>XSE600+ACB400</t>
  </si>
  <si>
    <t>XSE602+ACB400</t>
  </si>
  <si>
    <t>XSS633+ACB400</t>
  </si>
  <si>
    <t>MAS625</t>
  </si>
  <si>
    <t>MAS632</t>
  </si>
  <si>
    <t>MAS620</t>
  </si>
  <si>
    <t>XPT678+ACB460</t>
  </si>
  <si>
    <t>GPT768</t>
  </si>
  <si>
    <t>VSG325+CVH218</t>
  </si>
  <si>
    <t>VSG332+CVH218</t>
  </si>
  <si>
    <t>VSG340+CVH218</t>
  </si>
  <si>
    <t>VSG350+CVH218</t>
  </si>
  <si>
    <t>VSF365+CVH218</t>
  </si>
  <si>
    <t>VSF380+CVH218</t>
  </si>
  <si>
    <t>GSM735+ACB332</t>
  </si>
  <si>
    <t>UCO318</t>
  </si>
  <si>
    <t>Quadro e materiale di consumo</t>
  </si>
  <si>
    <t>Autochiusura</t>
  </si>
  <si>
    <t>Lampada emergenza</t>
  </si>
  <si>
    <t>Cartelli</t>
  </si>
  <si>
    <t>Compartimentazione tubo gas</t>
  </si>
  <si>
    <t>Nuovo quadro elettrico</t>
  </si>
  <si>
    <t>raccordi tubazioni</t>
  </si>
  <si>
    <t>Kin installazione tetto falda</t>
  </si>
  <si>
    <t>2 sottovuoto CSV35R tetto falda</t>
  </si>
  <si>
    <t>Pannelli</t>
  </si>
  <si>
    <t>Tubazioni 30m</t>
  </si>
  <si>
    <t>RSS MRS centrlaina+pompa</t>
  </si>
  <si>
    <t>2 collettori sottovuoto+centralina+tubazioni</t>
  </si>
  <si>
    <t>Bollitore doppio serpentino 500 litri</t>
  </si>
  <si>
    <t>Smaltimento bollitore esistente e materiale conum.</t>
  </si>
  <si>
    <t>Coster mas 632</t>
  </si>
  <si>
    <t>CSV 35 R Solar Kwh</t>
  </si>
  <si>
    <t>CSV 35 R Solar Ag</t>
  </si>
  <si>
    <t>SUPERFICIE LORDA CAMPO SOLARE</t>
  </si>
  <si>
    <t>Qu</t>
  </si>
  <si>
    <t>Ci</t>
  </si>
  <si>
    <t>CONTRIBUTO TOTALE SOLARE</t>
  </si>
  <si>
    <t>Via San Biagio, 10</t>
  </si>
  <si>
    <t>XTE611+ACB468</t>
  </si>
  <si>
    <t>Via Salario, 5</t>
  </si>
  <si>
    <t>Condexa pro 90 + scambiatore + primario</t>
  </si>
  <si>
    <t>Modifica camino</t>
  </si>
  <si>
    <t>Modifica rete gas e INAIL</t>
  </si>
  <si>
    <t>Modifica tubazioni ed isolamenti</t>
  </si>
  <si>
    <t>XTU614+ACB460</t>
  </si>
  <si>
    <t>c'è già</t>
  </si>
  <si>
    <t>Cassetta valvola gas</t>
  </si>
  <si>
    <t>Colore giallo</t>
  </si>
  <si>
    <t>Cartellonistica</t>
  </si>
  <si>
    <t>Sigillatura attraversamento</t>
  </si>
  <si>
    <t>2 x Condexa pro 90</t>
  </si>
  <si>
    <t>Rampe senza intercettazione</t>
  </si>
  <si>
    <t>Collettori+tappi</t>
  </si>
  <si>
    <t>copertura collettori</t>
  </si>
  <si>
    <t>kit scambiatore</t>
  </si>
  <si>
    <t>Camino</t>
  </si>
  <si>
    <t>Scamb. SP35-DN50 -57piastre</t>
  </si>
  <si>
    <t>Copertura C18</t>
  </si>
  <si>
    <t>Piedino P2</t>
  </si>
  <si>
    <t>2xCondexapro 90+primario e scambiatore</t>
  </si>
  <si>
    <t>Nuovo canale + camino per intub. Diam.160 7m</t>
  </si>
  <si>
    <t>Nuova pompa impianto Magna 3 40-80</t>
  </si>
  <si>
    <t>Magna3 40-80</t>
  </si>
  <si>
    <t>INAIL e modifiche gas</t>
  </si>
  <si>
    <t>Addolcimento e trattamento acqua</t>
  </si>
  <si>
    <t>tubazioni, isolamenti, defangatore</t>
  </si>
  <si>
    <t>Quadro tlc e materiale di consumo</t>
  </si>
  <si>
    <t>1 sottovuoto+boll 400l</t>
  </si>
  <si>
    <t>RBS 2S 430 ready</t>
  </si>
  <si>
    <t>Pannello CSV 35 R</t>
  </si>
  <si>
    <t>raccordo tubazioni</t>
  </si>
  <si>
    <t>tubazioni 15m</t>
  </si>
  <si>
    <t>kit fissaggio tetto piano</t>
  </si>
  <si>
    <t>1 collettore sottovuoto+bollitore430l</t>
  </si>
  <si>
    <t>tubazioni e materiale di consumo</t>
  </si>
  <si>
    <t>Eliminare bocchettoni gas + dielettrico</t>
  </si>
  <si>
    <t>Via San Bortolo, 17</t>
  </si>
  <si>
    <t>Nuovo circuito bollitore</t>
  </si>
  <si>
    <t>Quadro elettrico - modifica</t>
  </si>
  <si>
    <t>1 sottovuoto+boll 300l</t>
  </si>
  <si>
    <t>RBS 2S 300 ready</t>
  </si>
  <si>
    <t>Pannello CSV 25 R</t>
  </si>
  <si>
    <t>kit fissaggio tetto falda</t>
  </si>
  <si>
    <t>gsm c'è già</t>
  </si>
  <si>
    <t>dielettrico</t>
  </si>
  <si>
    <t>Foro filo soffitto</t>
  </si>
  <si>
    <t>CSV 25 R Solar Ag</t>
  </si>
  <si>
    <t>Costo lavori eseguiti direttamente</t>
  </si>
  <si>
    <t>Costo lavori in subappalto</t>
  </si>
  <si>
    <t>Maggiorazione per subappalto</t>
  </si>
  <si>
    <t>Via del Carmine, 5</t>
  </si>
  <si>
    <t>flessibili gas</t>
  </si>
  <si>
    <t>valvole sicurezza</t>
  </si>
  <si>
    <t>Quadro tlc e materiale consumo</t>
  </si>
  <si>
    <t>Via Garibaldi, 74</t>
  </si>
  <si>
    <t>Trasformazione vaso chiuso</t>
  </si>
  <si>
    <t>lavaggio impianto</t>
  </si>
  <si>
    <t>Isolamento tubazioni sottotetto</t>
  </si>
  <si>
    <t>Materiale di consumo</t>
  </si>
  <si>
    <t>c'è già modem</t>
  </si>
  <si>
    <t>2 x Condexa pro 135</t>
  </si>
  <si>
    <t>Scamb. SP40-DN65 -67piastre</t>
  </si>
  <si>
    <t>2xCondexapro 135+primario e scambiatore</t>
  </si>
  <si>
    <t>INAIL e modifica gas</t>
  </si>
  <si>
    <t>Camino per intubamento D.160 - 12 m</t>
  </si>
  <si>
    <t>Magna3 50-100</t>
  </si>
  <si>
    <t>Valvole, defangatore e filtro</t>
  </si>
  <si>
    <t>Carico impianto con demineralizzatore</t>
  </si>
  <si>
    <t>Modifica quadro elettrico</t>
  </si>
  <si>
    <t>Valvola gas e cassetta</t>
  </si>
  <si>
    <t>Via Solario, 5</t>
  </si>
  <si>
    <t>Camino per intubamento D.160 - 3 m</t>
  </si>
  <si>
    <t>Sistema di trattamento acqua</t>
  </si>
  <si>
    <t>valvole termostatiche</t>
  </si>
  <si>
    <t>Sigillare attrav. e linea alimentazione elettrov.</t>
  </si>
  <si>
    <t>Vaso espansione 50 litri e valvole sicurezza</t>
  </si>
  <si>
    <t>modem c'è già</t>
  </si>
  <si>
    <t>XCC638+ACB400</t>
  </si>
  <si>
    <t>Via del Carmine, 4</t>
  </si>
  <si>
    <t>Modifica camino esistente</t>
  </si>
  <si>
    <t>tubazioni, isolamenti, defangatore, collettore</t>
  </si>
  <si>
    <t>Carico con demineralizzatore</t>
  </si>
  <si>
    <t>SAb010</t>
  </si>
  <si>
    <t>materiale di consumo</t>
  </si>
  <si>
    <t>Piazza Don Favero, 26</t>
  </si>
  <si>
    <t>Magna3 32-100</t>
  </si>
  <si>
    <t>1 x Condexa pro 100</t>
  </si>
  <si>
    <t>Condexapro 100+primario e scambiatore</t>
  </si>
  <si>
    <t>Intubamento Diam.110 - 11 metri</t>
  </si>
  <si>
    <t>Nuova pompa impianto Magna 3 32-100</t>
  </si>
  <si>
    <t>Via San Bortolo, 19</t>
  </si>
  <si>
    <t>31/012019</t>
  </si>
  <si>
    <t>MEDIA SU BOLLETTE</t>
  </si>
  <si>
    <t>MEDIA SU CONTATORE</t>
  </si>
  <si>
    <t>MEDIA SU 31/03/21</t>
  </si>
  <si>
    <t>COVID</t>
  </si>
  <si>
    <t>Centro La Ginestra (casa anziani)/ Casa Albergo</t>
  </si>
  <si>
    <t>CONTATORE 2020</t>
  </si>
  <si>
    <t>Contatore da 27/11/2020</t>
  </si>
  <si>
    <t>Contatore Nuovo</t>
  </si>
  <si>
    <t>MEDIA PER ANALISI</t>
  </si>
  <si>
    <t>consumo stimato</t>
  </si>
  <si>
    <t>rilevamento non efettuato a fine mese</t>
  </si>
  <si>
    <t>Palestra Materna Tortorini</t>
  </si>
  <si>
    <t>Rimozione generatori mensa e smaltimento</t>
  </si>
  <si>
    <t>Separatore idraulico ed INAIL primario</t>
  </si>
  <si>
    <t>Magna3 25-60</t>
  </si>
  <si>
    <t>Trasduttore per regolazione salto termico cost.</t>
  </si>
  <si>
    <t>Tubazioni ed isolamenti</t>
  </si>
  <si>
    <t>Nuovi dispositivi INAIL mensa</t>
  </si>
  <si>
    <t>Sigillare attraversamento</t>
  </si>
  <si>
    <t>Smantellamento e smaltimento gen.ampliamento</t>
  </si>
  <si>
    <t>Cassetta valvola CT ampliamento</t>
  </si>
  <si>
    <t>Via Carrubbio, 136</t>
  </si>
  <si>
    <t>Via San Filippo, 19</t>
  </si>
  <si>
    <t>Nuovi radiatori con valvole termostatiche</t>
  </si>
  <si>
    <t>Quadro TLC e materiale di consumo</t>
  </si>
  <si>
    <t>1 x Condexa pro 115</t>
  </si>
  <si>
    <t>Condexapro 115+primario e scambiatore</t>
  </si>
  <si>
    <t>Intubamento Diam.110 - 8 m</t>
  </si>
  <si>
    <t>Magna 3 32-80</t>
  </si>
  <si>
    <t>Isolamento tubazioni seminterrato</t>
  </si>
  <si>
    <t>Cassetta valvola</t>
  </si>
  <si>
    <t>Eliminazione giunto 3 pezzi</t>
  </si>
  <si>
    <t>Demolizione e smaltimento generatore e pompe</t>
  </si>
  <si>
    <t>Murale 35 kW</t>
  </si>
  <si>
    <t>Family 35 IS</t>
  </si>
  <si>
    <t>Rilancio condensa</t>
  </si>
  <si>
    <t>Sonda esterna</t>
  </si>
  <si>
    <t>Riello Family 35 IS</t>
  </si>
  <si>
    <t>Nuove pompe Alpha 25-60</t>
  </si>
  <si>
    <t>Alpha 25-60</t>
  </si>
  <si>
    <t>Tubazioni, valvole, filtro, defamgatore</t>
  </si>
  <si>
    <t>Camino per intubamento</t>
  </si>
  <si>
    <t>Insufflaggio fibra di cellulosa</t>
  </si>
  <si>
    <t>INTERNO</t>
  </si>
  <si>
    <t>Via Puglia, 7</t>
  </si>
  <si>
    <t>Via Trento Trieste, 3</t>
  </si>
  <si>
    <t>Demolizione e smaltimento generatori</t>
  </si>
  <si>
    <t>1 x SteelPro Power 300</t>
  </si>
  <si>
    <t>tappi 3"</t>
  </si>
  <si>
    <t>Mandata e ritorno INAIL 3"</t>
  </si>
  <si>
    <t>Raccordo scambiatore DN65</t>
  </si>
  <si>
    <t>Copertura C19</t>
  </si>
  <si>
    <t>INAIL+Modifica gas</t>
  </si>
  <si>
    <t>Collettori, defangatore e filtri</t>
  </si>
  <si>
    <t>Tubazioni, isolamenti e valvole</t>
  </si>
  <si>
    <t>Magna 1 25-60</t>
  </si>
  <si>
    <t>Magna3 50-80</t>
  </si>
  <si>
    <t>Magna1 25-60</t>
  </si>
  <si>
    <t>Piazza San Marco, 4</t>
  </si>
  <si>
    <t>4 x Condexa pro 100</t>
  </si>
  <si>
    <t>Scamb. SP35-DN50 -105piastre</t>
  </si>
  <si>
    <t>Copertura C20</t>
  </si>
  <si>
    <t>Camino Diam.160 - 12 m</t>
  </si>
  <si>
    <t>Magna3D 65-80</t>
  </si>
  <si>
    <t>Tubazioni, isolamenti, valvole, defangatore</t>
  </si>
  <si>
    <t>Quadro elettrico</t>
  </si>
  <si>
    <t>Sigillare attraversamento e spostamento condensa</t>
  </si>
  <si>
    <t>3 x Condexa pro 90</t>
  </si>
  <si>
    <t>Scamb. SP35-DN50 -75piastre</t>
  </si>
  <si>
    <t>Via Calcinara, 94</t>
  </si>
  <si>
    <t>Via XXVIII Aprile, 10</t>
  </si>
  <si>
    <t>Via Santo Stefano Superiore, 38</t>
  </si>
  <si>
    <t>2xCondexaPro 70+primario+scambiatore</t>
  </si>
  <si>
    <t>2 x Condexa pro 70</t>
  </si>
  <si>
    <t>Scamb. SP35-DN50 -39piastre</t>
  </si>
  <si>
    <t>Copertura C17</t>
  </si>
  <si>
    <t>modifiche elettriche</t>
  </si>
  <si>
    <t>Via Trento Trieste, 64</t>
  </si>
  <si>
    <t>Via Buggiani, 2</t>
  </si>
  <si>
    <t>Via Marendole, 12</t>
  </si>
  <si>
    <t>Via Granzette, 27</t>
  </si>
  <si>
    <t>1 x SteelPro Power 540</t>
  </si>
  <si>
    <t>Scamb. SP40-DN65 -99piastre</t>
  </si>
  <si>
    <t>Copertura C8</t>
  </si>
  <si>
    <t>SteelPro Power 540+primario con scambiatore</t>
  </si>
  <si>
    <t>Tubazioni, valvole, defangatore, isolamenti</t>
  </si>
  <si>
    <t>Aggiornamento siemens</t>
  </si>
  <si>
    <t>Annuo ACS</t>
  </si>
  <si>
    <t>Trattenuto da Bosch</t>
  </si>
  <si>
    <t>Poliuretano 10cm su sottotetto</t>
  </si>
  <si>
    <t>Insufflaggio fibra di celluslosa 20 cm</t>
  </si>
  <si>
    <t>Nexpro 300 CS Plus</t>
  </si>
  <si>
    <t>Bollitore PDC 300 litri</t>
  </si>
  <si>
    <t>Impianto FV 6 kWp</t>
  </si>
  <si>
    <t>BOLLITORE PDC</t>
  </si>
  <si>
    <t>CONTRIBUTO boll.pdc</t>
  </si>
  <si>
    <t>Family ES 25T</t>
  </si>
  <si>
    <t>pdc splittata</t>
  </si>
  <si>
    <t>Centralina</t>
  </si>
  <si>
    <t>Pompa di calore abbinata per ibrido</t>
  </si>
  <si>
    <t>CONTATORI DI ENERGIA</t>
  </si>
  <si>
    <t>Prezzo unitario</t>
  </si>
  <si>
    <t>Diametro</t>
  </si>
  <si>
    <r>
      <t>Portata indicativa [m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/h]</t>
    </r>
  </si>
  <si>
    <t>DN20</t>
  </si>
  <si>
    <t>DN25</t>
  </si>
  <si>
    <t>DN32</t>
  </si>
  <si>
    <t>DN40</t>
  </si>
  <si>
    <t>DN50</t>
  </si>
  <si>
    <t>DN65</t>
  </si>
  <si>
    <t>DN80</t>
  </si>
  <si>
    <t>DN100</t>
  </si>
  <si>
    <t>SDP</t>
  </si>
  <si>
    <t>Contatore di energia DN50</t>
  </si>
  <si>
    <t>Contatore di energia DN32</t>
  </si>
  <si>
    <t>Contatore di energia DN40</t>
  </si>
  <si>
    <t>Contatore di calore DN32</t>
  </si>
  <si>
    <t>Contatore di energia DN20</t>
  </si>
  <si>
    <t>Bollitore solare + 1 collettore sottovuoto</t>
  </si>
  <si>
    <t>MAS740</t>
  </si>
  <si>
    <t>Coster mas 740</t>
  </si>
  <si>
    <t>serbatoio inerziale</t>
  </si>
  <si>
    <t>Nuovo quadro elettrico centrale termica</t>
  </si>
  <si>
    <t>Contatore di calore DN50</t>
  </si>
  <si>
    <t>Contatore di calore DN40</t>
  </si>
  <si>
    <t>Modifche quadro elettrico</t>
  </si>
  <si>
    <t>Calcolo sistema ibrido</t>
  </si>
  <si>
    <t>PDC Family 25T</t>
  </si>
  <si>
    <t>Potenza</t>
  </si>
  <si>
    <t>COP</t>
  </si>
  <si>
    <t>Quf - zona E</t>
  </si>
  <si>
    <t>Ei</t>
  </si>
  <si>
    <t>k</t>
  </si>
  <si>
    <t>Ci &gt; 35kW</t>
  </si>
  <si>
    <t>anni</t>
  </si>
  <si>
    <t>Incentivo</t>
  </si>
  <si>
    <t>2xCondexapro 115+primario e scambiatore</t>
  </si>
  <si>
    <t>2 x Condexa pro 115</t>
  </si>
  <si>
    <t>Camino Diam.300 - 10 m</t>
  </si>
  <si>
    <t>SteelPro Power 460+primario con scambiatore</t>
  </si>
  <si>
    <t>1 x SteelPro Power 460</t>
  </si>
  <si>
    <t>tappi 5"</t>
  </si>
  <si>
    <t>Mandata e ritorno INAIL 5"</t>
  </si>
  <si>
    <t>Scamb. SP40-DN65 -121piastre</t>
  </si>
  <si>
    <t>Copertura C21</t>
  </si>
  <si>
    <t>Conto Termico (Solo opere senza rimborsi per diagnosi ed APE)</t>
  </si>
  <si>
    <t>3xCondexaPro 135+primario+scambiatore</t>
  </si>
  <si>
    <t>3 x Condexa pro 135</t>
  </si>
  <si>
    <t>kit scambiatore DN65</t>
  </si>
  <si>
    <t>Scamb. SP40-DN65 -93piastre</t>
  </si>
  <si>
    <t>Scuola Media G. Guinizelli</t>
  </si>
  <si>
    <t>+20%</t>
  </si>
  <si>
    <t>CME</t>
  </si>
  <si>
    <t>diff</t>
  </si>
  <si>
    <t>Impianto</t>
  </si>
  <si>
    <t>Fabbisogno</t>
  </si>
  <si>
    <t>Risparmio reale</t>
  </si>
  <si>
    <t>Risparmio dichiarato</t>
  </si>
  <si>
    <t>Foglio</t>
  </si>
  <si>
    <t>Tep/anno</t>
  </si>
  <si>
    <t>kWh/anno</t>
  </si>
  <si>
    <t>tCO2</t>
  </si>
  <si>
    <t>ID</t>
  </si>
  <si>
    <t>MEDIA AUMENTATA</t>
  </si>
  <si>
    <t>AUMENTO CONSUMI</t>
  </si>
  <si>
    <t>foglio</t>
  </si>
  <si>
    <t>commessa</t>
  </si>
  <si>
    <t>Interventi impianti</t>
  </si>
  <si>
    <t>Interventi edili</t>
  </si>
  <si>
    <t>subappalto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</si>
</sst>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&quot;€&quot;\ * #,##0.00_-;\-&quot;€&quot;\ * #,##0.00_-;_-&quot;€&quot;\ * &quot;-&quot;??_-;_-@_-"/>
    <numFmt numFmtId="164" formatCode="#,##0\ &quot;mq&quot;"/>
    <numFmt numFmtId="165" formatCode="#,##0\ &quot;Mc&quot;"/>
    <numFmt numFmtId="166" formatCode="#,##0\ &quot;€/mq&quot;"/>
    <numFmt numFmtId="167" formatCode="#,##0.00\ &quot;W/mqK&quot;"/>
    <numFmt numFmtId="168" formatCode="#,##0\ &quot;W&quot;"/>
    <numFmt numFmtId="169" formatCode="#,##0\ &quot;mc&quot;"/>
    <numFmt numFmtId="170" formatCode="0.0"/>
    <numFmt numFmtId="171" formatCode="_-[$€-410]\ * #,##0.00_-;\-[$€-410]\ * #,##0.00_-;_-[$€-410]\ * &quot;-&quot;??_-;_-@_-"/>
    <numFmt numFmtId="172" formatCode="#,##0\ &quot;€/cad&quot;"/>
    <numFmt numFmtId="173" formatCode="0.0%"/>
    <numFmt numFmtId="174" formatCode="#,##0.0\ &quot;mq&quot;"/>
    <numFmt numFmtId="175" formatCode="[$€-2]\ #,##0.00;[Red]\-[$€-2]\ #,##0.00"/>
    <numFmt numFmtId="176" formatCode="#,##0\ &quot;kWh&quot;"/>
    <numFmt numFmtId="177" formatCode="0.000"/>
    <numFmt numFmtId="178" formatCode="&quot;€&quot;\ 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20"/>
      <color theme="1"/>
      <name val="Arial Narrow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3F3F7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8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38" borderId="0" applyNumberFormat="0" applyBorder="0" applyAlignment="0" applyProtection="0"/>
    <xf numFmtId="0" fontId="14" fillId="42" borderId="0" applyNumberFormat="0" applyBorder="0" applyAlignment="0" applyProtection="0"/>
    <xf numFmtId="0" fontId="14" fillId="46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5" borderId="0" applyNumberFormat="0" applyBorder="0" applyAlignment="0" applyProtection="0"/>
    <xf numFmtId="0" fontId="14" fillId="39" borderId="0" applyNumberFormat="0" applyBorder="0" applyAlignment="0" applyProtection="0"/>
    <xf numFmtId="0" fontId="14" fillId="43" borderId="0" applyNumberFormat="0" applyBorder="0" applyAlignment="0" applyProtection="0"/>
    <xf numFmtId="0" fontId="14" fillId="47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48" borderId="0" applyNumberFormat="0" applyBorder="0" applyAlignment="0" applyProtection="0"/>
    <xf numFmtId="0" fontId="20" fillId="22" borderId="20" applyNumberFormat="0" applyAlignment="0" applyProtection="0"/>
    <xf numFmtId="0" fontId="21" fillId="0" borderId="22" applyNumberFormat="0" applyFill="0" applyAlignment="0" applyProtection="0"/>
    <xf numFmtId="0" fontId="22" fillId="23" borderId="23" applyNumberFormat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7" borderId="0" applyNumberFormat="0" applyBorder="0" applyAlignment="0" applyProtection="0"/>
    <xf numFmtId="0" fontId="19" fillId="41" borderId="0" applyNumberFormat="0" applyBorder="0" applyAlignment="0" applyProtection="0"/>
    <xf numFmtId="0" fontId="19" fillId="45" borderId="0" applyNumberFormat="0" applyBorder="0" applyAlignment="0" applyProtection="0"/>
    <xf numFmtId="0" fontId="23" fillId="21" borderId="20" applyNumberFormat="0" applyAlignment="0" applyProtection="0"/>
    <xf numFmtId="0" fontId="24" fillId="20" borderId="0" applyNumberFormat="0" applyBorder="0" applyAlignment="0" applyProtection="0"/>
    <xf numFmtId="0" fontId="14" fillId="24" borderId="24" applyNumberFormat="0" applyFont="0" applyAlignment="0" applyProtection="0"/>
    <xf numFmtId="0" fontId="25" fillId="22" borderId="2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19" borderId="0" applyNumberFormat="0" applyBorder="0" applyAlignment="0" applyProtection="0"/>
    <xf numFmtId="0" fontId="33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8">
    <xf numFmtId="0" fontId="0" fillId="0" borderId="0" xfId="0"/>
    <xf numFmtId="164" fontId="0" fillId="0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44" fontId="0" fillId="0" borderId="0" xfId="3" applyFont="1"/>
    <xf numFmtId="2" fontId="0" fillId="0" borderId="0" xfId="3" applyNumberFormat="1" applyFont="1"/>
    <xf numFmtId="0" fontId="4" fillId="0" borderId="0" xfId="0" applyFont="1" applyAlignment="1">
      <alignment horizontal="right"/>
    </xf>
    <xf numFmtId="0" fontId="3" fillId="0" borderId="0" xfId="0" applyFont="1"/>
    <xf numFmtId="9" fontId="3" fillId="0" borderId="0" xfId="2" applyFont="1"/>
    <xf numFmtId="9" fontId="0" fillId="0" borderId="0" xfId="2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9" fontId="3" fillId="0" borderId="0" xfId="0" applyNumberFormat="1" applyFont="1"/>
    <xf numFmtId="166" fontId="0" fillId="0" borderId="0" xfId="1" applyNumberFormat="1" applyFont="1"/>
    <xf numFmtId="167" fontId="0" fillId="0" borderId="0" xfId="0" applyNumberFormat="1"/>
    <xf numFmtId="0" fontId="3" fillId="0" borderId="0" xfId="0" applyFont="1" applyAlignment="1">
      <alignment horizontal="right"/>
    </xf>
    <xf numFmtId="164" fontId="3" fillId="0" borderId="0" xfId="3" applyNumberFormat="1" applyFont="1"/>
    <xf numFmtId="0" fontId="3" fillId="0" borderId="0" xfId="0" applyFont="1" applyAlignment="1">
      <alignment horizontal="center"/>
    </xf>
    <xf numFmtId="9" fontId="0" fillId="0" borderId="0" xfId="0" applyNumberFormat="1" applyFont="1"/>
    <xf numFmtId="0" fontId="3" fillId="0" borderId="0" xfId="0" applyFont="1" applyFill="1" applyBorder="1" applyAlignment="1">
      <alignment horizontal="right"/>
    </xf>
    <xf numFmtId="0" fontId="0" fillId="0" borderId="0" xfId="0" applyBorder="1"/>
    <xf numFmtId="44" fontId="0" fillId="0" borderId="0" xfId="1" applyFont="1"/>
    <xf numFmtId="44" fontId="3" fillId="0" borderId="0" xfId="0" applyNumberFormat="1" applyFont="1"/>
    <xf numFmtId="0" fontId="0" fillId="0" borderId="1" xfId="0" applyFont="1" applyFill="1" applyBorder="1" applyAlignment="1" applyProtection="1">
      <alignment vertical="center"/>
    </xf>
    <xf numFmtId="0" fontId="0" fillId="0" borderId="2" xfId="0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44" fontId="0" fillId="0" borderId="2" xfId="1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" xfId="0" applyFill="1" applyBorder="1" applyAlignment="1" applyProtection="1">
      <alignment horizontal="center" vertical="center"/>
    </xf>
    <xf numFmtId="9" fontId="9" fillId="0" borderId="1" xfId="2" applyFont="1" applyFill="1" applyBorder="1" applyAlignment="1">
      <alignment horizontal="center"/>
    </xf>
    <xf numFmtId="0" fontId="10" fillId="0" borderId="0" xfId="0" applyFont="1"/>
    <xf numFmtId="0" fontId="11" fillId="14" borderId="3" xfId="0" applyFont="1" applyFill="1" applyBorder="1" applyAlignment="1">
      <alignment horizontal="center" textRotation="90" wrapText="1"/>
    </xf>
    <xf numFmtId="0" fontId="11" fillId="14" borderId="4" xfId="0" applyFont="1" applyFill="1" applyBorder="1" applyAlignment="1">
      <alignment horizontal="center" textRotation="90" wrapText="1"/>
    </xf>
    <xf numFmtId="0" fontId="11" fillId="14" borderId="5" xfId="0" applyFont="1" applyFill="1" applyBorder="1" applyAlignment="1">
      <alignment horizontal="center" textRotation="90"/>
    </xf>
    <xf numFmtId="0" fontId="11" fillId="9" borderId="6" xfId="0" applyFont="1" applyFill="1" applyBorder="1" applyAlignment="1">
      <alignment horizontal="center" textRotation="90"/>
    </xf>
    <xf numFmtId="0" fontId="11" fillId="15" borderId="3" xfId="0" applyFont="1" applyFill="1" applyBorder="1" applyAlignment="1">
      <alignment horizontal="center" textRotation="90" wrapText="1"/>
    </xf>
    <xf numFmtId="0" fontId="11" fillId="15" borderId="4" xfId="0" applyFont="1" applyFill="1" applyBorder="1" applyAlignment="1">
      <alignment horizontal="center" textRotation="90" wrapText="1"/>
    </xf>
    <xf numFmtId="0" fontId="11" fillId="15" borderId="5" xfId="0" applyFont="1" applyFill="1" applyBorder="1" applyAlignment="1">
      <alignment horizontal="center" textRotation="90"/>
    </xf>
    <xf numFmtId="170" fontId="10" fillId="0" borderId="9" xfId="0" applyNumberFormat="1" applyFont="1" applyFill="1" applyBorder="1" applyAlignment="1">
      <alignment horizontal="center"/>
    </xf>
    <xf numFmtId="170" fontId="10" fillId="0" borderId="10" xfId="0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/>
    <xf numFmtId="44" fontId="11" fillId="0" borderId="0" xfId="0" applyNumberFormat="1" applyFont="1"/>
    <xf numFmtId="171" fontId="11" fillId="0" borderId="0" xfId="0" applyNumberFormat="1" applyFont="1"/>
    <xf numFmtId="169" fontId="11" fillId="0" borderId="0" xfId="0" applyNumberFormat="1" applyFont="1"/>
    <xf numFmtId="171" fontId="10" fillId="0" borderId="1" xfId="0" applyNumberFormat="1" applyFont="1" applyFill="1" applyBorder="1"/>
    <xf numFmtId="0" fontId="5" fillId="0" borderId="0" xfId="0" applyFont="1" applyFill="1"/>
    <xf numFmtId="44" fontId="0" fillId="0" borderId="0" xfId="3" applyFont="1" applyFill="1"/>
    <xf numFmtId="169" fontId="10" fillId="0" borderId="8" xfId="5" applyNumberFormat="1" applyFont="1" applyFill="1" applyBorder="1" applyAlignment="1">
      <alignment horizontal="center"/>
    </xf>
    <xf numFmtId="44" fontId="10" fillId="0" borderId="1" xfId="5" applyFont="1" applyFill="1" applyBorder="1" applyAlignment="1">
      <alignment horizontal="center"/>
    </xf>
    <xf numFmtId="0" fontId="16" fillId="0" borderId="0" xfId="6" applyFont="1"/>
    <xf numFmtId="1" fontId="17" fillId="0" borderId="0" xfId="6" applyNumberFormat="1" applyFont="1" applyAlignment="1">
      <alignment horizontal="center"/>
    </xf>
    <xf numFmtId="9" fontId="0" fillId="0" borderId="0" xfId="2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44" fontId="5" fillId="0" borderId="0" xfId="1" applyFont="1" applyFill="1"/>
    <xf numFmtId="0" fontId="8" fillId="0" borderId="0" xfId="0" applyFont="1" applyFill="1" applyAlignment="1">
      <alignment horizontal="right"/>
    </xf>
    <xf numFmtId="44" fontId="8" fillId="0" borderId="0" xfId="3" applyFont="1" applyFill="1"/>
    <xf numFmtId="0" fontId="7" fillId="0" borderId="0" xfId="0" applyFont="1" applyFill="1" applyAlignment="1">
      <alignment horizontal="right"/>
    </xf>
    <xf numFmtId="44" fontId="7" fillId="0" borderId="0" xfId="3" applyFont="1" applyFill="1"/>
    <xf numFmtId="44" fontId="0" fillId="0" borderId="0" xfId="0" applyNumberFormat="1"/>
    <xf numFmtId="0" fontId="0" fillId="0" borderId="0" xfId="3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3" applyNumberFormat="1" applyFont="1" applyAlignment="1"/>
    <xf numFmtId="0" fontId="0" fillId="0" borderId="0" xfId="0" applyAlignment="1"/>
    <xf numFmtId="0" fontId="0" fillId="4" borderId="0" xfId="0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1" fontId="4" fillId="0" borderId="0" xfId="4" applyNumberFormat="1" applyFont="1" applyFill="1" applyAlignment="1">
      <alignment horizontal="center"/>
    </xf>
    <xf numFmtId="2" fontId="5" fillId="0" borderId="0" xfId="4" applyNumberFormat="1" applyFont="1" applyFill="1" applyAlignment="1">
      <alignment horizontal="center"/>
    </xf>
    <xf numFmtId="9" fontId="3" fillId="0" borderId="0" xfId="3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9" fontId="0" fillId="4" borderId="0" xfId="2" applyFont="1" applyFill="1" applyAlignment="1">
      <alignment horizontal="center"/>
    </xf>
    <xf numFmtId="9" fontId="3" fillId="0" borderId="0" xfId="2" applyFont="1" applyAlignment="1">
      <alignment horizontal="center"/>
    </xf>
    <xf numFmtId="0" fontId="4" fillId="0" borderId="0" xfId="0" applyFont="1" applyFill="1" applyAlignment="1">
      <alignment horizontal="right"/>
    </xf>
    <xf numFmtId="9" fontId="3" fillId="0" borderId="0" xfId="2" applyFont="1" applyFill="1"/>
    <xf numFmtId="0" fontId="0" fillId="0" borderId="0" xfId="0" applyFont="1" applyAlignment="1">
      <alignment horizontal="right"/>
    </xf>
    <xf numFmtId="164" fontId="1" fillId="4" borderId="0" xfId="3" applyNumberFormat="1" applyFont="1" applyFill="1" applyAlignment="1">
      <alignment horizontal="center"/>
    </xf>
    <xf numFmtId="167" fontId="0" fillId="4" borderId="0" xfId="0" applyNumberFormat="1" applyFill="1" applyAlignment="1">
      <alignment horizontal="center"/>
    </xf>
    <xf numFmtId="172" fontId="0" fillId="0" borderId="0" xfId="1" applyNumberFormat="1" applyFont="1"/>
    <xf numFmtId="0" fontId="0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 applyFill="1" applyAlignment="1">
      <alignment horizontal="center"/>
    </xf>
    <xf numFmtId="0" fontId="0" fillId="4" borderId="0" xfId="0" applyFont="1" applyFill="1" applyAlignment="1">
      <alignment horizontal="center"/>
    </xf>
    <xf numFmtId="168" fontId="0" fillId="4" borderId="0" xfId="0" applyNumberFormat="1" applyFill="1" applyAlignment="1">
      <alignment horizontal="center"/>
    </xf>
    <xf numFmtId="44" fontId="11" fillId="0" borderId="0" xfId="1" applyFont="1"/>
    <xf numFmtId="0" fontId="10" fillId="0" borderId="11" xfId="0" applyFont="1" applyFill="1" applyBorder="1"/>
    <xf numFmtId="0" fontId="11" fillId="0" borderId="1" xfId="0" applyFont="1" applyFill="1" applyBorder="1"/>
    <xf numFmtId="0" fontId="10" fillId="0" borderId="9" xfId="0" applyFont="1" applyFill="1" applyBorder="1"/>
    <xf numFmtId="0" fontId="10" fillId="0" borderId="13" xfId="0" applyFont="1" applyFill="1" applyBorder="1"/>
    <xf numFmtId="0" fontId="11" fillId="0" borderId="14" xfId="0" applyFont="1" applyFill="1" applyBorder="1"/>
    <xf numFmtId="0" fontId="10" fillId="0" borderId="15" xfId="0" applyFont="1" applyFill="1" applyBorder="1"/>
    <xf numFmtId="0" fontId="35" fillId="0" borderId="1" xfId="48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9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36" fillId="2" borderId="1" xfId="0" applyFont="1" applyFill="1" applyBorder="1" applyAlignment="1" applyProtection="1">
      <alignment horizontal="center" vertical="center" wrapText="1"/>
    </xf>
    <xf numFmtId="44" fontId="10" fillId="0" borderId="1" xfId="0" applyNumberFormat="1" applyFont="1" applyFill="1" applyBorder="1" applyAlignment="1" applyProtection="1">
      <alignment horizontal="center" vertical="center"/>
    </xf>
    <xf numFmtId="44" fontId="10" fillId="0" borderId="1" xfId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3" fontId="0" fillId="4" borderId="0" xfId="2" applyNumberFormat="1" applyFont="1" applyFill="1" applyAlignment="1">
      <alignment horizontal="center"/>
    </xf>
    <xf numFmtId="173" fontId="0" fillId="0" borderId="0" xfId="0" applyNumberFormat="1" applyFont="1" applyAlignment="1">
      <alignment horizontal="center"/>
    </xf>
    <xf numFmtId="173" fontId="3" fillId="0" borderId="0" xfId="2" applyNumberFormat="1" applyFont="1" applyAlignment="1">
      <alignment horizontal="center"/>
    </xf>
    <xf numFmtId="173" fontId="3" fillId="0" borderId="0" xfId="0" applyNumberFormat="1" applyFont="1" applyAlignment="1">
      <alignment horizontal="center"/>
    </xf>
    <xf numFmtId="173" fontId="4" fillId="4" borderId="1" xfId="2" applyNumberFormat="1" applyFont="1" applyFill="1" applyBorder="1" applyAlignment="1">
      <alignment horizontal="center"/>
    </xf>
    <xf numFmtId="173" fontId="0" fillId="0" borderId="0" xfId="0" applyNumberFormat="1" applyFill="1"/>
    <xf numFmtId="173" fontId="3" fillId="0" borderId="0" xfId="3" applyNumberFormat="1" applyFont="1" applyAlignment="1">
      <alignment horizontal="center"/>
    </xf>
    <xf numFmtId="173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2" fontId="11" fillId="0" borderId="0" xfId="1" applyNumberFormat="1" applyFont="1" applyAlignment="1">
      <alignment horizontal="center"/>
    </xf>
    <xf numFmtId="171" fontId="11" fillId="8" borderId="0" xfId="0" applyNumberFormat="1" applyFont="1" applyFill="1"/>
    <xf numFmtId="164" fontId="10" fillId="0" borderId="1" xfId="0" applyNumberFormat="1" applyFont="1" applyFill="1" applyBorder="1" applyAlignment="1" applyProtection="1">
      <alignment horizontal="center" vertical="center"/>
    </xf>
    <xf numFmtId="44" fontId="3" fillId="9" borderId="28" xfId="0" applyNumberFormat="1" applyFont="1" applyFill="1" applyBorder="1"/>
    <xf numFmtId="44" fontId="3" fillId="6" borderId="29" xfId="0" applyNumberFormat="1" applyFont="1" applyFill="1" applyBorder="1"/>
    <xf numFmtId="44" fontId="3" fillId="13" borderId="29" xfId="0" applyNumberFormat="1" applyFont="1" applyFill="1" applyBorder="1"/>
    <xf numFmtId="164" fontId="0" fillId="0" borderId="0" xfId="3" applyNumberFormat="1" applyFont="1" applyAlignment="1">
      <alignment horizontal="center"/>
    </xf>
    <xf numFmtId="44" fontId="3" fillId="4" borderId="29" xfId="0" applyNumberFormat="1" applyFont="1" applyFill="1" applyBorder="1"/>
    <xf numFmtId="44" fontId="3" fillId="12" borderId="29" xfId="0" applyNumberFormat="1" applyFont="1" applyFill="1" applyBorder="1"/>
    <xf numFmtId="0" fontId="0" fillId="0" borderId="0" xfId="3" applyNumberFormat="1" applyFont="1" applyFill="1" applyAlignment="1">
      <alignment horizontal="center"/>
    </xf>
    <xf numFmtId="0" fontId="0" fillId="0" borderId="12" xfId="0" applyFont="1" applyFill="1" applyBorder="1" applyAlignment="1" applyProtection="1">
      <alignment vertical="center"/>
    </xf>
    <xf numFmtId="44" fontId="0" fillId="0" borderId="0" xfId="1" applyFont="1" applyFill="1"/>
    <xf numFmtId="44" fontId="0" fillId="0" borderId="0" xfId="0" applyNumberFormat="1" applyFill="1"/>
    <xf numFmtId="0" fontId="37" fillId="0" borderId="1" xfId="0" applyFont="1" applyBorder="1" applyAlignment="1">
      <alignment horizontal="left" vertical="center"/>
    </xf>
    <xf numFmtId="0" fontId="37" fillId="0" borderId="12" xfId="0" applyFont="1" applyBorder="1" applyAlignment="1">
      <alignment vertical="center"/>
    </xf>
    <xf numFmtId="44" fontId="3" fillId="0" borderId="0" xfId="1" applyFont="1"/>
    <xf numFmtId="44" fontId="1" fillId="0" borderId="0" xfId="1" applyFont="1"/>
    <xf numFmtId="0" fontId="0" fillId="0" borderId="0" xfId="0" applyAlignment="1">
      <alignment horizontal="center"/>
    </xf>
    <xf numFmtId="0" fontId="36" fillId="2" borderId="1" xfId="0" applyFont="1" applyFill="1" applyBorder="1" applyAlignment="1">
      <alignment horizontal="center" vertical="center" wrapText="1"/>
    </xf>
    <xf numFmtId="174" fontId="10" fillId="0" borderId="1" xfId="0" applyNumberFormat="1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</xf>
    <xf numFmtId="44" fontId="3" fillId="8" borderId="29" xfId="0" applyNumberFormat="1" applyFont="1" applyFill="1" applyBorder="1"/>
    <xf numFmtId="0" fontId="3" fillId="50" borderId="29" xfId="0" applyFont="1" applyFill="1" applyBorder="1" applyAlignment="1">
      <alignment horizontal="center"/>
    </xf>
    <xf numFmtId="44" fontId="0" fillId="0" borderId="30" xfId="0" applyNumberFormat="1" applyBorder="1"/>
    <xf numFmtId="44" fontId="0" fillId="0" borderId="31" xfId="0" applyNumberFormat="1" applyBorder="1"/>
    <xf numFmtId="44" fontId="0" fillId="0" borderId="32" xfId="0" applyNumberFormat="1" applyBorder="1"/>
    <xf numFmtId="44" fontId="0" fillId="50" borderId="29" xfId="0" applyNumberFormat="1" applyFill="1" applyBorder="1"/>
    <xf numFmtId="44" fontId="0" fillId="0" borderId="33" xfId="0" applyNumberFormat="1" applyBorder="1"/>
    <xf numFmtId="44" fontId="0" fillId="0" borderId="0" xfId="3" applyFont="1" applyAlignment="1">
      <alignment horizontal="center"/>
    </xf>
    <xf numFmtId="44" fontId="39" fillId="51" borderId="11" xfId="1" applyFont="1" applyFill="1" applyBorder="1"/>
    <xf numFmtId="0" fontId="38" fillId="0" borderId="0" xfId="0" applyFont="1" applyAlignment="1">
      <alignment horizontal="right"/>
    </xf>
    <xf numFmtId="44" fontId="39" fillId="0" borderId="0" xfId="1" applyFont="1" applyFill="1"/>
    <xf numFmtId="44" fontId="39" fillId="3" borderId="11" xfId="1" applyFont="1" applyFill="1" applyBorder="1"/>
    <xf numFmtId="9" fontId="0" fillId="0" borderId="0" xfId="0" applyNumberFormat="1" applyAlignment="1">
      <alignment horizontal="right"/>
    </xf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7" fillId="17" borderId="1" xfId="6" applyNumberFormat="1" applyFont="1" applyFill="1" applyBorder="1" applyAlignment="1">
      <alignment horizontal="center" vertical="center"/>
    </xf>
    <xf numFmtId="0" fontId="17" fillId="17" borderId="1" xfId="6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6" fillId="0" borderId="1" xfId="6" applyNumberFormat="1" applyFont="1" applyBorder="1" applyAlignment="1">
      <alignment horizontal="center"/>
    </xf>
    <xf numFmtId="0" fontId="16" fillId="0" borderId="1" xfId="6" applyFont="1" applyBorder="1" applyAlignment="1">
      <alignment horizontal="center"/>
    </xf>
    <xf numFmtId="0" fontId="14" fillId="0" borderId="0" xfId="6" applyAlignment="1"/>
    <xf numFmtId="0" fontId="16" fillId="0" borderId="0" xfId="6" applyFont="1" applyAlignment="1"/>
    <xf numFmtId="0" fontId="17" fillId="0" borderId="1" xfId="6" applyFont="1" applyBorder="1" applyAlignment="1">
      <alignment horizontal="center" vertical="center"/>
    </xf>
    <xf numFmtId="14" fontId="17" fillId="0" borderId="1" xfId="6" applyNumberFormat="1" applyFont="1" applyBorder="1" applyAlignment="1">
      <alignment horizontal="center" vertical="center"/>
    </xf>
    <xf numFmtId="0" fontId="16" fillId="0" borderId="1" xfId="6" applyFont="1" applyBorder="1" applyAlignment="1"/>
    <xf numFmtId="3" fontId="16" fillId="0" borderId="1" xfId="6" applyNumberFormat="1" applyFont="1" applyBorder="1" applyAlignment="1"/>
    <xf numFmtId="0" fontId="16" fillId="49" borderId="1" xfId="6" applyFont="1" applyFill="1" applyBorder="1" applyAlignment="1"/>
    <xf numFmtId="1" fontId="16" fillId="0" borderId="1" xfId="6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6" fillId="9" borderId="1" xfId="6" applyFont="1" applyFill="1" applyBorder="1" applyAlignment="1"/>
    <xf numFmtId="3" fontId="16" fillId="4" borderId="1" xfId="6" applyNumberFormat="1" applyFont="1" applyFill="1" applyBorder="1" applyAlignment="1"/>
    <xf numFmtId="0" fontId="16" fillId="4" borderId="1" xfId="6" applyFont="1" applyFill="1" applyBorder="1" applyAlignment="1"/>
    <xf numFmtId="1" fontId="16" fillId="4" borderId="1" xfId="6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  <xf numFmtId="1" fontId="16" fillId="17" borderId="1" xfId="0" applyNumberFormat="1" applyFont="1" applyFill="1" applyBorder="1" applyAlignment="1">
      <alignment horizontal="center" vertical="center"/>
    </xf>
    <xf numFmtId="1" fontId="16" fillId="17" borderId="1" xfId="6" applyNumberFormat="1" applyFont="1" applyFill="1" applyBorder="1" applyAlignment="1">
      <alignment horizontal="center" vertical="center"/>
    </xf>
    <xf numFmtId="0" fontId="16" fillId="0" borderId="0" xfId="6" applyFont="1" applyFill="1" applyAlignment="1"/>
    <xf numFmtId="0" fontId="16" fillId="4" borderId="0" xfId="6" applyFont="1" applyFill="1"/>
    <xf numFmtId="0" fontId="16" fillId="9" borderId="0" xfId="6" applyFont="1" applyFill="1"/>
    <xf numFmtId="0" fontId="17" fillId="9" borderId="1" xfId="6" applyFont="1" applyFill="1" applyBorder="1" applyAlignment="1">
      <alignment horizontal="center" vertical="center"/>
    </xf>
    <xf numFmtId="1" fontId="17" fillId="9" borderId="1" xfId="6" applyNumberFormat="1" applyFont="1" applyFill="1" applyBorder="1" applyAlignment="1">
      <alignment horizontal="center"/>
    </xf>
    <xf numFmtId="9" fontId="0" fillId="0" borderId="0" xfId="0" applyNumberFormat="1"/>
    <xf numFmtId="2" fontId="0" fillId="0" borderId="0" xfId="0" applyNumberFormat="1" applyAlignment="1">
      <alignment horizontal="center"/>
    </xf>
    <xf numFmtId="0" fontId="3" fillId="0" borderId="3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NumberFormat="1" applyFont="1" applyFill="1" applyBorder="1" applyAlignment="1" applyProtection="1">
      <alignment horizontal="center" vertical="center" textRotation="90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textRotation="90" wrapText="1"/>
    </xf>
    <xf numFmtId="0" fontId="2" fillId="2" borderId="4" xfId="0" applyFont="1" applyFill="1" applyBorder="1" applyAlignment="1" applyProtection="1">
      <alignment horizontal="center" vertical="center" textRotation="90" wrapText="1"/>
    </xf>
    <xf numFmtId="0" fontId="2" fillId="2" borderId="4" xfId="0" applyNumberFormat="1" applyFont="1" applyFill="1" applyBorder="1" applyAlignment="1" applyProtection="1">
      <alignment horizontal="center" vertical="center" textRotation="90" wrapText="1"/>
    </xf>
    <xf numFmtId="0" fontId="2" fillId="9" borderId="4" xfId="0" applyNumberFormat="1" applyFont="1" applyFill="1" applyBorder="1" applyAlignment="1" applyProtection="1">
      <alignment horizontal="center" vertical="center" textRotation="90"/>
    </xf>
    <xf numFmtId="0" fontId="2" fillId="9" borderId="4" xfId="0" applyNumberFormat="1" applyFont="1" applyFill="1" applyBorder="1" applyAlignment="1" applyProtection="1">
      <alignment horizontal="center" vertical="center" wrapText="1"/>
    </xf>
    <xf numFmtId="0" fontId="2" fillId="9" borderId="4" xfId="0" applyNumberFormat="1" applyFont="1" applyFill="1" applyBorder="1" applyAlignment="1" applyProtection="1">
      <alignment horizontal="center" vertical="center" textRotation="90" wrapText="1"/>
    </xf>
    <xf numFmtId="0" fontId="2" fillId="5" borderId="4" xfId="0" applyNumberFormat="1" applyFont="1" applyFill="1" applyBorder="1" applyAlignment="1" applyProtection="1">
      <alignment horizontal="center" vertical="center" textRotation="90"/>
    </xf>
    <xf numFmtId="0" fontId="2" fillId="5" borderId="4" xfId="0" applyNumberFormat="1" applyFont="1" applyFill="1" applyBorder="1" applyAlignment="1" applyProtection="1">
      <alignment horizontal="center" vertical="center" wrapText="1"/>
    </xf>
    <xf numFmtId="0" fontId="2" fillId="11" borderId="4" xfId="0" applyNumberFormat="1" applyFont="1" applyFill="1" applyBorder="1" applyAlignment="1" applyProtection="1">
      <alignment horizontal="center" vertical="center" textRotation="90" wrapText="1"/>
    </xf>
    <xf numFmtId="0" fontId="2" fillId="11" borderId="4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center" vertical="center" textRotation="90" wrapText="1"/>
    </xf>
    <xf numFmtId="0" fontId="2" fillId="8" borderId="4" xfId="0" applyNumberFormat="1" applyFont="1" applyFill="1" applyBorder="1" applyAlignment="1" applyProtection="1">
      <alignment horizontal="center" vertical="center" textRotation="90"/>
    </xf>
    <xf numFmtId="0" fontId="2" fillId="8" borderId="4" xfId="0" applyNumberFormat="1" applyFont="1" applyFill="1" applyBorder="1" applyAlignment="1" applyProtection="1">
      <alignment horizontal="center" vertical="center" wrapText="1"/>
    </xf>
    <xf numFmtId="0" fontId="2" fillId="8" borderId="4" xfId="0" applyNumberFormat="1" applyFont="1" applyFill="1" applyBorder="1" applyAlignment="1" applyProtection="1">
      <alignment horizontal="center" vertical="center" textRotation="90" wrapText="1"/>
    </xf>
    <xf numFmtId="0" fontId="2" fillId="13" borderId="4" xfId="0" applyNumberFormat="1" applyFont="1" applyFill="1" applyBorder="1" applyAlignment="1" applyProtection="1">
      <alignment horizontal="center" vertical="center" textRotation="90" wrapText="1"/>
    </xf>
    <xf numFmtId="0" fontId="2" fillId="13" borderId="4" xfId="0" applyNumberFormat="1" applyFont="1" applyFill="1" applyBorder="1" applyAlignment="1" applyProtection="1">
      <alignment horizontal="center" vertical="center" wrapText="1"/>
    </xf>
    <xf numFmtId="0" fontId="2" fillId="6" borderId="4" xfId="0" applyNumberFormat="1" applyFont="1" applyFill="1" applyBorder="1" applyAlignment="1" applyProtection="1">
      <alignment horizontal="center" vertical="center" textRotation="90"/>
    </xf>
    <xf numFmtId="0" fontId="2" fillId="6" borderId="4" xfId="0" applyNumberFormat="1" applyFont="1" applyFill="1" applyBorder="1" applyAlignment="1" applyProtection="1">
      <alignment horizontal="center" vertical="center" wrapText="1"/>
    </xf>
    <xf numFmtId="0" fontId="2" fillId="6" borderId="4" xfId="0" applyNumberFormat="1" applyFont="1" applyFill="1" applyBorder="1" applyAlignment="1" applyProtection="1">
      <alignment horizontal="center" vertical="center" textRotation="90" wrapText="1"/>
    </xf>
    <xf numFmtId="0" fontId="2" fillId="4" borderId="4" xfId="0" applyNumberFormat="1" applyFont="1" applyFill="1" applyBorder="1" applyAlignment="1" applyProtection="1">
      <alignment horizontal="center" vertical="center" textRotation="90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textRotation="90" wrapText="1"/>
    </xf>
    <xf numFmtId="0" fontId="2" fillId="10" borderId="4" xfId="0" applyNumberFormat="1" applyFont="1" applyFill="1" applyBorder="1" applyAlignment="1" applyProtection="1">
      <alignment horizontal="center" vertical="center"/>
    </xf>
    <xf numFmtId="0" fontId="2" fillId="10" borderId="4" xfId="0" applyNumberFormat="1" applyFont="1" applyFill="1" applyBorder="1" applyAlignment="1" applyProtection="1">
      <alignment horizontal="center" vertical="center" wrapText="1"/>
    </xf>
    <xf numFmtId="0" fontId="2" fillId="10" borderId="4" xfId="0" applyNumberFormat="1" applyFont="1" applyFill="1" applyBorder="1" applyAlignment="1" applyProtection="1">
      <alignment horizontal="center" vertical="center" textRotation="90" wrapText="1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35" fillId="0" borderId="14" xfId="48" applyFont="1" applyFill="1" applyBorder="1" applyAlignment="1" applyProtection="1">
      <alignment vertical="center" wrapText="1"/>
    </xf>
    <xf numFmtId="0" fontId="0" fillId="0" borderId="14" xfId="0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horizontal="center" vertical="center"/>
    </xf>
    <xf numFmtId="165" fontId="0" fillId="0" borderId="14" xfId="0" applyNumberFormat="1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164" fontId="0" fillId="0" borderId="14" xfId="0" applyNumberFormat="1" applyFont="1" applyFill="1" applyBorder="1" applyAlignment="1" applyProtection="1">
      <alignment horizontal="center" vertical="center"/>
    </xf>
    <xf numFmtId="0" fontId="0" fillId="0" borderId="37" xfId="0" applyFill="1" applyBorder="1" applyAlignment="1">
      <alignment horizontal="center"/>
    </xf>
    <xf numFmtId="44" fontId="0" fillId="0" borderId="14" xfId="1" applyFont="1" applyFill="1" applyBorder="1"/>
    <xf numFmtId="44" fontId="0" fillId="0" borderId="37" xfId="1" applyFont="1" applyFill="1" applyBorder="1" applyAlignment="1">
      <alignment horizontal="center"/>
    </xf>
    <xf numFmtId="9" fontId="9" fillId="0" borderId="14" xfId="2" applyFont="1" applyFill="1" applyBorder="1" applyAlignment="1">
      <alignment horizontal="center"/>
    </xf>
    <xf numFmtId="9" fontId="0" fillId="0" borderId="14" xfId="2" applyFont="1" applyFill="1" applyBorder="1" applyAlignment="1">
      <alignment horizontal="center"/>
    </xf>
    <xf numFmtId="171" fontId="10" fillId="0" borderId="14" xfId="0" applyNumberFormat="1" applyFont="1" applyFill="1" applyBorder="1"/>
    <xf numFmtId="169" fontId="10" fillId="0" borderId="36" xfId="5" applyNumberFormat="1" applyFont="1" applyFill="1" applyBorder="1" applyAlignment="1">
      <alignment horizontal="center"/>
    </xf>
    <xf numFmtId="44" fontId="10" fillId="0" borderId="14" xfId="5" applyFont="1" applyFill="1" applyBorder="1" applyAlignment="1">
      <alignment horizontal="center"/>
    </xf>
    <xf numFmtId="170" fontId="10" fillId="0" borderId="15" xfId="0" applyNumberFormat="1" applyFont="1" applyFill="1" applyBorder="1" applyAlignment="1">
      <alignment horizontal="center"/>
    </xf>
    <xf numFmtId="170" fontId="10" fillId="0" borderId="38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 applyProtection="1">
      <alignment horizontal="center" vertical="center"/>
    </xf>
    <xf numFmtId="0" fontId="3" fillId="49" borderId="29" xfId="0" applyFont="1" applyFill="1" applyBorder="1" applyAlignment="1">
      <alignment horizontal="center"/>
    </xf>
    <xf numFmtId="0" fontId="37" fillId="6" borderId="1" xfId="0" applyFont="1" applyFill="1" applyBorder="1" applyAlignment="1">
      <alignment horizontal="left" vertical="center"/>
    </xf>
    <xf numFmtId="0" fontId="37" fillId="6" borderId="1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39" fillId="9" borderId="11" xfId="1" applyFont="1" applyFill="1" applyBorder="1"/>
    <xf numFmtId="175" fontId="0" fillId="0" borderId="0" xfId="0" applyNumberFormat="1"/>
    <xf numFmtId="175" fontId="3" fillId="0" borderId="0" xfId="0" applyNumberFormat="1" applyFont="1"/>
    <xf numFmtId="0" fontId="0" fillId="0" borderId="0" xfId="0" quotePrefix="1"/>
    <xf numFmtId="165" fontId="0" fillId="0" borderId="0" xfId="0" applyNumberFormat="1"/>
    <xf numFmtId="176" fontId="0" fillId="0" borderId="0" xfId="0" applyNumberFormat="1"/>
    <xf numFmtId="173" fontId="0" fillId="0" borderId="0" xfId="0" applyNumberFormat="1" applyAlignment="1">
      <alignment horizontal="center"/>
    </xf>
    <xf numFmtId="173" fontId="0" fillId="0" borderId="0" xfId="2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77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176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7" borderId="2" xfId="0" applyFill="1" applyBorder="1" applyAlignment="1">
      <alignment horizontal="center"/>
    </xf>
    <xf numFmtId="44" fontId="0" fillId="7" borderId="1" xfId="1" applyFont="1" applyFill="1" applyBorder="1"/>
    <xf numFmtId="0" fontId="17" fillId="0" borderId="0" xfId="6" applyFont="1" applyAlignment="1">
      <alignment horizontal="center" vertical="center"/>
    </xf>
    <xf numFmtId="173" fontId="17" fillId="0" borderId="0" xfId="6" applyNumberFormat="1" applyFont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textRotation="90" wrapText="1"/>
    </xf>
    <xf numFmtId="173" fontId="3" fillId="0" borderId="0" xfId="2" applyNumberFormat="1" applyFont="1"/>
    <xf numFmtId="0" fontId="0" fillId="0" borderId="39" xfId="0" applyBorder="1"/>
    <xf numFmtId="178" fontId="0" fillId="0" borderId="40" xfId="0" applyNumberFormat="1" applyBorder="1"/>
    <xf numFmtId="0" fontId="0" fillId="0" borderId="40" xfId="0" applyBorder="1"/>
    <xf numFmtId="44" fontId="3" fillId="0" borderId="41" xfId="0" applyNumberFormat="1" applyFont="1" applyBorder="1"/>
    <xf numFmtId="0" fontId="0" fillId="0" borderId="42" xfId="0" applyBorder="1"/>
    <xf numFmtId="178" fontId="0" fillId="0" borderId="43" xfId="0" applyNumberFormat="1" applyBorder="1"/>
    <xf numFmtId="0" fontId="0" fillId="0" borderId="43" xfId="0" applyBorder="1"/>
    <xf numFmtId="44" fontId="3" fillId="0" borderId="44" xfId="0" applyNumberFormat="1" applyFont="1" applyBorder="1"/>
    <xf numFmtId="0" fontId="11" fillId="12" borderId="26" xfId="0" applyFont="1" applyFill="1" applyBorder="1" applyAlignment="1">
      <alignment horizontal="center"/>
    </xf>
    <xf numFmtId="0" fontId="11" fillId="12" borderId="27" xfId="0" applyFont="1" applyFill="1" applyBorder="1" applyAlignment="1">
      <alignment horizontal="center"/>
    </xf>
    <xf numFmtId="0" fontId="11" fillId="12" borderId="28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11" fillId="9" borderId="27" xfId="0" applyFont="1" applyFill="1" applyBorder="1" applyAlignment="1">
      <alignment horizontal="center"/>
    </xf>
    <xf numFmtId="0" fontId="11" fillId="9" borderId="28" xfId="0" applyFont="1" applyFill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15" fillId="0" borderId="16" xfId="6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8" fillId="9" borderId="34" xfId="0" applyFont="1" applyFill="1" applyBorder="1" applyAlignment="1">
      <alignment horizontal="right"/>
    </xf>
    <xf numFmtId="0" fontId="38" fillId="9" borderId="35" xfId="0" applyFont="1" applyFill="1" applyBorder="1" applyAlignment="1">
      <alignment horizontal="right"/>
    </xf>
    <xf numFmtId="44" fontId="0" fillId="0" borderId="0" xfId="0" applyNumberFormat="1" applyFill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0" fontId="38" fillId="51" borderId="34" xfId="0" applyFont="1" applyFill="1" applyBorder="1" applyAlignment="1">
      <alignment horizontal="right"/>
    </xf>
    <xf numFmtId="0" fontId="38" fillId="51" borderId="35" xfId="0" applyFont="1" applyFill="1" applyBorder="1" applyAlignment="1">
      <alignment horizontal="right"/>
    </xf>
    <xf numFmtId="0" fontId="38" fillId="3" borderId="34" xfId="0" applyFont="1" applyFill="1" applyBorder="1" applyAlignment="1">
      <alignment horizontal="right"/>
    </xf>
    <xf numFmtId="0" fontId="38" fillId="3" borderId="35" xfId="0" applyFont="1" applyFill="1" applyBorder="1" applyAlignment="1">
      <alignment horizontal="right"/>
    </xf>
    <xf numFmtId="0" fontId="4" fillId="11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4" fillId="8" borderId="0" xfId="0" applyFont="1" applyFill="1" applyAlignment="1">
      <alignment horizontal="center"/>
    </xf>
    <xf numFmtId="165" fontId="3" fillId="0" borderId="0" xfId="3" applyNumberFormat="1" applyFont="1" applyFill="1" applyAlignment="1">
      <alignment horizontal="center"/>
    </xf>
    <xf numFmtId="0" fontId="0" fillId="0" borderId="0" xfId="3" applyNumberFormat="1" applyFont="1" applyFill="1" applyAlignment="1">
      <alignment horizontal="center"/>
    </xf>
    <xf numFmtId="0" fontId="0" fillId="4" borderId="0" xfId="3" applyNumberFormat="1" applyFont="1" applyFill="1" applyAlignment="1">
      <alignment horizontal="center"/>
    </xf>
    <xf numFmtId="2" fontId="0" fillId="0" borderId="0" xfId="3" applyNumberFormat="1" applyFont="1" applyAlignment="1">
      <alignment horizontal="center"/>
    </xf>
    <xf numFmtId="0" fontId="4" fillId="9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49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52">
    <cellStyle name="20% - Colore 1 2" xfId="8"/>
    <cellStyle name="20% - Colore 2 2" xfId="9"/>
    <cellStyle name="20% - Colore 3 2" xfId="10"/>
    <cellStyle name="20% - Colore 4 2" xfId="11"/>
    <cellStyle name="20% - Colore 5 2" xfId="12"/>
    <cellStyle name="20% - Colore 6 2" xfId="13"/>
    <cellStyle name="40% - Colore 1 2" xfId="14"/>
    <cellStyle name="40% - Colore 2 2" xfId="15"/>
    <cellStyle name="40% - Colore 3 2" xfId="16"/>
    <cellStyle name="40% - Colore 4 2" xfId="17"/>
    <cellStyle name="40% - Colore 5 2" xfId="18"/>
    <cellStyle name="40% - Colore 6 2" xfId="19"/>
    <cellStyle name="60% - Colore 1 2" xfId="20"/>
    <cellStyle name="60% - Colore 2 2" xfId="21"/>
    <cellStyle name="60% - Colore 3 2" xfId="22"/>
    <cellStyle name="60% - Colore 4 2" xfId="23"/>
    <cellStyle name="60% - Colore 5 2" xfId="24"/>
    <cellStyle name="60% - Colore 6 2" xfId="25"/>
    <cellStyle name="Calcolo 2" xfId="26"/>
    <cellStyle name="Cella collegata 2" xfId="27"/>
    <cellStyle name="Cella da controllare 2" xfId="28"/>
    <cellStyle name="Colore 1 2" xfId="29"/>
    <cellStyle name="Colore 2 2" xfId="30"/>
    <cellStyle name="Colore 3 2" xfId="31"/>
    <cellStyle name="Colore 4 2" xfId="32"/>
    <cellStyle name="Colore 5 2" xfId="33"/>
    <cellStyle name="Colore 6 2" xfId="34"/>
    <cellStyle name="Input 2" xfId="35"/>
    <cellStyle name="Neutrale 2" xfId="36"/>
    <cellStyle name="Normale" xfId="0" builtinId="0"/>
    <cellStyle name="Normale 2" xfId="6"/>
    <cellStyle name="Normale 6" xfId="48"/>
    <cellStyle name="Nota 2" xfId="37"/>
    <cellStyle name="Output 2" xfId="38"/>
    <cellStyle name="Percentuale" xfId="2" builtinId="5"/>
    <cellStyle name="Percentuale 2" xfId="4"/>
    <cellStyle name="Testo avviso 2" xfId="39"/>
    <cellStyle name="Testo descrittivo 2" xfId="40"/>
    <cellStyle name="Titolo" xfId="7" builtinId="15" customBuiltin="1"/>
    <cellStyle name="Titolo 1 2" xfId="41"/>
    <cellStyle name="Titolo 2 2" xfId="42"/>
    <cellStyle name="Titolo 3 2" xfId="43"/>
    <cellStyle name="Titolo 4 2" xfId="44"/>
    <cellStyle name="Totale 2" xfId="45"/>
    <cellStyle name="Valore non valido 2" xfId="46"/>
    <cellStyle name="Valore valido 2" xfId="47"/>
    <cellStyle name="Valuta" xfId="1" builtinId="4"/>
    <cellStyle name="Valuta 2" xfId="3"/>
    <cellStyle name="Valuta 2 2" xfId="50"/>
    <cellStyle name="Valuta 3" xfId="5"/>
    <cellStyle name="Valuta 3 2" xfId="51"/>
    <cellStyle name="Valuta 4" xfId="49"/>
  </cellStyles>
  <dxfs count="27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workbookViewId="0">
      <selection activeCell="A8" sqref="A8"/>
    </sheetView>
  </sheetViews>
  <sheetFormatPr defaultRowHeight="14.4" x14ac:dyDescent="0.3"/>
  <cols>
    <col min="1" max="1" width="8.88671875" style="153"/>
    <col min="2" max="2" width="3" style="153" customWidth="1"/>
    <col min="3" max="3" width="3" bestFit="1" customWidth="1"/>
    <col min="4" max="4" width="58" bestFit="1" customWidth="1"/>
    <col min="5" max="5" width="16.33203125" bestFit="1" customWidth="1"/>
    <col min="6" max="6" width="20.44140625" bestFit="1" customWidth="1"/>
    <col min="7" max="7" width="17.33203125" customWidth="1"/>
    <col min="8" max="8" width="17.88671875" bestFit="1" customWidth="1"/>
    <col min="9" max="9" width="6.44140625" bestFit="1" customWidth="1"/>
    <col min="10" max="10" width="9.44140625" bestFit="1" customWidth="1"/>
    <col min="11" max="11" width="16.88671875" bestFit="1" customWidth="1"/>
    <col min="12" max="12" width="31.6640625" bestFit="1" customWidth="1"/>
    <col min="13" max="13" width="7" bestFit="1" customWidth="1"/>
    <col min="14" max="14" width="11.44140625" bestFit="1" customWidth="1"/>
    <col min="15" max="15" width="13.33203125" bestFit="1" customWidth="1"/>
    <col min="16" max="16" width="31.6640625" hidden="1" customWidth="1"/>
    <col min="17" max="17" width="7" hidden="1" customWidth="1"/>
    <col min="18" max="18" width="7.44140625" hidden="1" customWidth="1"/>
    <col min="19" max="19" width="13.33203125" hidden="1" customWidth="1"/>
    <col min="20" max="20" width="27" hidden="1" customWidth="1"/>
    <col min="21" max="21" width="7.44140625" hidden="1" customWidth="1"/>
    <col min="22" max="22" width="13.44140625" hidden="1" customWidth="1"/>
    <col min="23" max="23" width="27" hidden="1" customWidth="1"/>
    <col min="24" max="24" width="7.44140625" hidden="1" customWidth="1"/>
    <col min="25" max="25" width="13.33203125" hidden="1" customWidth="1"/>
    <col min="26" max="26" width="14.5546875" bestFit="1" customWidth="1"/>
    <col min="27" max="28" width="9.109375" style="153"/>
    <col min="29" max="29" width="13.109375" bestFit="1" customWidth="1"/>
  </cols>
  <sheetData>
    <row r="1" spans="2:29" ht="15" thickBot="1" x14ac:dyDescent="0.35">
      <c r="D1" s="276" t="s">
        <v>116</v>
      </c>
      <c r="E1" s="277"/>
      <c r="F1" s="277"/>
      <c r="G1" s="278"/>
      <c r="H1" s="288" t="s">
        <v>32</v>
      </c>
      <c r="I1" s="289"/>
      <c r="J1" s="289"/>
      <c r="K1" s="290"/>
      <c r="L1" s="282" t="s">
        <v>45</v>
      </c>
      <c r="M1" s="283"/>
      <c r="N1" s="283"/>
      <c r="O1" s="284"/>
      <c r="P1" s="279" t="s">
        <v>128</v>
      </c>
      <c r="Q1" s="280"/>
      <c r="R1" s="280"/>
      <c r="S1" s="281"/>
      <c r="T1" s="285" t="s">
        <v>14</v>
      </c>
      <c r="U1" s="286"/>
      <c r="V1" s="287"/>
      <c r="W1" s="271" t="s">
        <v>9</v>
      </c>
      <c r="X1" s="272"/>
      <c r="Y1" s="273"/>
      <c r="Z1" s="238" t="s">
        <v>433</v>
      </c>
      <c r="AC1" s="141" t="s">
        <v>22</v>
      </c>
    </row>
    <row r="2" spans="2:29" x14ac:dyDescent="0.3">
      <c r="D2" s="100" t="s">
        <v>117</v>
      </c>
      <c r="E2" s="101">
        <v>130</v>
      </c>
      <c r="F2" s="45" t="s">
        <v>118</v>
      </c>
      <c r="H2" t="s">
        <v>238</v>
      </c>
      <c r="I2">
        <v>2532</v>
      </c>
      <c r="L2" s="100" t="s">
        <v>129</v>
      </c>
      <c r="M2" s="101">
        <v>200</v>
      </c>
      <c r="N2" s="45" t="s">
        <v>130</v>
      </c>
      <c r="P2" s="100" t="s">
        <v>129</v>
      </c>
      <c r="Q2" s="101">
        <v>100</v>
      </c>
      <c r="R2" s="45" t="s">
        <v>130</v>
      </c>
      <c r="T2" s="100" t="s">
        <v>138</v>
      </c>
      <c r="U2" s="101">
        <v>450</v>
      </c>
      <c r="V2" s="45" t="s">
        <v>130</v>
      </c>
      <c r="W2" s="100" t="s">
        <v>138</v>
      </c>
      <c r="X2" s="101">
        <v>35</v>
      </c>
      <c r="Y2" s="45" t="s">
        <v>130</v>
      </c>
    </row>
    <row r="3" spans="2:29" x14ac:dyDescent="0.3">
      <c r="D3" s="100" t="s">
        <v>119</v>
      </c>
      <c r="E3" s="101">
        <v>160</v>
      </c>
      <c r="F3" s="45" t="s">
        <v>118</v>
      </c>
      <c r="H3" t="s">
        <v>239</v>
      </c>
      <c r="I3">
        <v>3.91</v>
      </c>
      <c r="L3" s="100" t="s">
        <v>132</v>
      </c>
      <c r="M3" s="101">
        <v>100</v>
      </c>
      <c r="N3" s="45" t="s">
        <v>130</v>
      </c>
      <c r="P3" s="100" t="s">
        <v>132</v>
      </c>
      <c r="Q3" s="101">
        <v>80</v>
      </c>
      <c r="R3" s="45" t="s">
        <v>130</v>
      </c>
      <c r="T3" s="100"/>
      <c r="U3" s="101"/>
      <c r="V3" s="45"/>
      <c r="W3" s="100"/>
      <c r="X3" s="101"/>
      <c r="Y3" s="45"/>
    </row>
    <row r="4" spans="2:29" x14ac:dyDescent="0.3">
      <c r="D4" s="100" t="s">
        <v>120</v>
      </c>
      <c r="E4" s="102">
        <v>0.4</v>
      </c>
      <c r="F4" s="45"/>
      <c r="H4" t="s">
        <v>293</v>
      </c>
      <c r="I4">
        <v>2.77</v>
      </c>
      <c r="L4" s="100" t="s">
        <v>120</v>
      </c>
      <c r="M4" s="102">
        <v>0.5</v>
      </c>
      <c r="N4" s="45"/>
      <c r="P4" s="100" t="s">
        <v>120</v>
      </c>
      <c r="Q4" s="102">
        <v>0.4</v>
      </c>
      <c r="R4" s="45"/>
      <c r="T4" s="100" t="s">
        <v>120</v>
      </c>
      <c r="U4" s="102">
        <v>0.4</v>
      </c>
      <c r="V4" s="45"/>
      <c r="W4" s="100" t="s">
        <v>120</v>
      </c>
      <c r="X4" s="102">
        <v>0.4</v>
      </c>
      <c r="Y4" s="45"/>
    </row>
    <row r="5" spans="2:29" x14ac:dyDescent="0.3">
      <c r="D5" s="100" t="s">
        <v>121</v>
      </c>
      <c r="E5" s="103">
        <v>40000</v>
      </c>
      <c r="F5" s="45" t="s">
        <v>122</v>
      </c>
      <c r="L5" s="100" t="s">
        <v>131</v>
      </c>
      <c r="M5" s="103">
        <v>400000</v>
      </c>
      <c r="N5" s="45" t="s">
        <v>122</v>
      </c>
      <c r="P5" s="100" t="s">
        <v>131</v>
      </c>
      <c r="Q5" s="103">
        <v>400000</v>
      </c>
      <c r="R5" s="45" t="s">
        <v>122</v>
      </c>
      <c r="T5" s="100" t="s">
        <v>131</v>
      </c>
      <c r="U5" s="103">
        <v>400000</v>
      </c>
      <c r="V5" s="45" t="s">
        <v>122</v>
      </c>
      <c r="W5" s="100" t="s">
        <v>131</v>
      </c>
      <c r="X5" s="103">
        <v>70000</v>
      </c>
      <c r="Y5" s="45" t="s">
        <v>122</v>
      </c>
    </row>
    <row r="6" spans="2:29" x14ac:dyDescent="0.3">
      <c r="D6" s="100" t="s">
        <v>123</v>
      </c>
      <c r="E6" s="103">
        <v>3000</v>
      </c>
      <c r="F6" s="45" t="s">
        <v>122</v>
      </c>
      <c r="G6" s="45"/>
      <c r="H6" s="45"/>
      <c r="I6" s="45"/>
      <c r="J6" s="45"/>
      <c r="K6" s="45"/>
      <c r="L6" s="100"/>
      <c r="M6" s="103"/>
      <c r="N6" s="45"/>
      <c r="O6" s="45"/>
      <c r="P6" s="100"/>
      <c r="Q6" s="103"/>
      <c r="R6" s="45"/>
      <c r="S6" s="45"/>
      <c r="T6" s="100"/>
      <c r="U6" s="103"/>
      <c r="V6" s="45"/>
      <c r="W6" s="100"/>
      <c r="X6" s="103"/>
      <c r="Y6" s="45"/>
    </row>
    <row r="7" spans="2:29" ht="47.4" thickBot="1" x14ac:dyDescent="0.35">
      <c r="B7" s="261" t="s">
        <v>504</v>
      </c>
      <c r="C7" s="261" t="s">
        <v>505</v>
      </c>
      <c r="D7" s="104" t="s">
        <v>0</v>
      </c>
      <c r="E7" s="104" t="s">
        <v>124</v>
      </c>
      <c r="F7" s="104" t="s">
        <v>125</v>
      </c>
      <c r="G7" s="104" t="s">
        <v>126</v>
      </c>
      <c r="H7" s="137" t="s">
        <v>240</v>
      </c>
      <c r="I7" s="137" t="s">
        <v>241</v>
      </c>
      <c r="J7" s="137" t="s">
        <v>242</v>
      </c>
      <c r="K7" s="137" t="s">
        <v>243</v>
      </c>
      <c r="L7" s="104" t="s">
        <v>139</v>
      </c>
      <c r="M7" s="104" t="s">
        <v>135</v>
      </c>
      <c r="N7" s="104" t="s">
        <v>136</v>
      </c>
      <c r="O7" s="104" t="s">
        <v>137</v>
      </c>
      <c r="P7" s="104" t="s">
        <v>133</v>
      </c>
      <c r="Q7" s="104" t="s">
        <v>135</v>
      </c>
      <c r="R7" s="104" t="s">
        <v>136</v>
      </c>
      <c r="S7" s="104" t="s">
        <v>134</v>
      </c>
      <c r="T7" s="104" t="s">
        <v>135</v>
      </c>
      <c r="U7" s="104" t="s">
        <v>136</v>
      </c>
      <c r="V7" s="104" t="s">
        <v>140</v>
      </c>
      <c r="W7" s="104" t="s">
        <v>142</v>
      </c>
      <c r="X7" s="104" t="s">
        <v>136</v>
      </c>
      <c r="Y7" s="104" t="s">
        <v>141</v>
      </c>
      <c r="Z7" s="104" t="s">
        <v>434</v>
      </c>
    </row>
    <row r="8" spans="2:29" x14ac:dyDescent="0.3">
      <c r="B8" s="3">
        <v>1</v>
      </c>
      <c r="C8" s="3">
        <f>+Riassunto!C4</f>
        <v>1</v>
      </c>
      <c r="D8" s="27" t="str">
        <f>+Riassunto!D4</f>
        <v>Municipio</v>
      </c>
      <c r="E8" s="107">
        <f>129*3</f>
        <v>387</v>
      </c>
      <c r="F8" s="105">
        <f>+'1'!$E$36+'1'!$E$49+'1'!$E$66</f>
        <v>46260</v>
      </c>
      <c r="G8" s="106">
        <f>+IF(E8&gt;35,IF(F8&lt;(E8*$E$2),IF(F8*$E$4&lt;$E$5,F8*$E$4,$E$5),IF(E8*$E$2*$E$4&lt;$E$5,E8*$E$2*$E$4,$E$5)),IF(F8&lt;(E8*$E$3),IF(F8*$E$4&lt;$E$6,F8*$E$4,$E$6),IF(E8*$E$3*$E$4&lt;$E$6,E8*$E$3*$E$4,$E$6)))</f>
        <v>18504</v>
      </c>
      <c r="H8" s="138"/>
      <c r="I8" s="139"/>
      <c r="J8" s="106"/>
      <c r="K8" s="106">
        <f>+IF(H8&lt;50,2*H8*I8*J8,5*H8*I8*J8)</f>
        <v>0</v>
      </c>
      <c r="L8" s="107"/>
      <c r="M8" s="121">
        <f>+'1'!$M$8</f>
        <v>0</v>
      </c>
      <c r="N8" s="106">
        <f>+'1'!$O$36</f>
        <v>0</v>
      </c>
      <c r="O8" s="106">
        <f>+IF(L8="ESTERNO",IF(N8&lt;(M8*$M$2),IF(N8*$M$4&lt;$M$5,N8*$M$4,$M$5),IF(M8*$M$2*$M$4&lt;$M$5,M8*$M$2*$M$4,$M$5)),IF(N8&lt;(M8*$M$3),IF(N8*$M$4&lt;$M$5,N8*$M$4,$M$5),IF(M8*$M$3*$M$4&lt;$M$5,M8*$M$3*$M$4,$M$5)))</f>
        <v>0</v>
      </c>
      <c r="P8" s="107"/>
      <c r="Q8" s="121">
        <f>+'1'!$R$9</f>
        <v>0</v>
      </c>
      <c r="R8" s="106">
        <f>+'1'!$T$36</f>
        <v>0</v>
      </c>
      <c r="S8" s="106">
        <f>+IF(P8="ESTERNO",IF(R8&lt;(Q8*$Q$2),IF(R8*$Q$4&lt;$Q$5,R8*$Q$4,$Q$5),IF(Q8*$Q$2*$Q$4&lt;$Q$5,Q8*$Q$2*$Q$4,$Q$5)),IF(R8&lt;(Q8*$Q$3),IF(R8*$Q$4&lt;$Q$5,R8*$Q$4,$Q$5),IF(Q8*$Q$3*$Q$4&lt;$Q$5,Q8*$Q$3*$Q$4,$Q$5)))</f>
        <v>0</v>
      </c>
      <c r="T8" s="121">
        <f>+'1'!$W$9</f>
        <v>0</v>
      </c>
      <c r="U8" s="106">
        <f>+'1'!$Y$36</f>
        <v>0</v>
      </c>
      <c r="V8" s="106">
        <f>+IF(U8&lt;(T8*$U$2),IF(U8*$U$4&lt;$U$5,U8*$U$4,$U$5),IF(T8*$U$2*$U$4&lt;$U$5,T8*$U$2*$U$4,$U$5))</f>
        <v>0</v>
      </c>
      <c r="W8" s="121">
        <f>+Riassunto!K4</f>
        <v>1980</v>
      </c>
      <c r="X8" s="106">
        <f>+'1'!$AD$36</f>
        <v>0</v>
      </c>
      <c r="Y8" s="106">
        <f>+IF(X8&lt;(W8*$X$2),IF(X8*$X$4&lt;$X$5,X8*$X$4,$X$5),IF(W8*$X$2*$X$4&lt;$X$5,W8*$X$2*$X$4,$X$5))</f>
        <v>0</v>
      </c>
      <c r="Z8" s="106"/>
      <c r="AC8" s="142">
        <f>+Y8+V8+S8+O8+K8+G8+Z8</f>
        <v>18504</v>
      </c>
    </row>
    <row r="9" spans="2:29" ht="15.75" customHeight="1" x14ac:dyDescent="0.3">
      <c r="B9" s="3">
        <v>2</v>
      </c>
      <c r="C9" s="3">
        <f>+Riassunto!C5</f>
        <v>2</v>
      </c>
      <c r="D9" s="27" t="str">
        <f>+Riassunto!D5</f>
        <v>Ca' Emo</v>
      </c>
      <c r="E9" s="107"/>
      <c r="F9" s="105">
        <f>+'2'!$E$36+'2'!$E$49+'2'!$E$66</f>
        <v>0</v>
      </c>
      <c r="G9" s="106">
        <f t="shared" ref="G9:G22" si="0">+IF(E9&gt;35,IF(F9&lt;(E9*$E$2),IF(F9*$E$4&lt;$E$5,F9*$E$4,$E$5),IF(E9*$E$2*$E$4&lt;$E$5,E9*$E$2*$E$4,$E$5)),IF(F9&lt;(E9*$E$3),IF(F9*$E$4&lt;$E$6,F9*$E$4,$E$6),IF(E9*$E$3*$E$4&lt;$E$6,E9*$E$3*$E$4,$E$6)))</f>
        <v>0</v>
      </c>
      <c r="H9" s="138"/>
      <c r="I9" s="139"/>
      <c r="J9" s="106"/>
      <c r="K9" s="106">
        <f t="shared" ref="K9:K18" si="1">+IF(H9&lt;50,2*H9*I9*J9,5*H9*I9*J9)</f>
        <v>0</v>
      </c>
      <c r="L9" s="107"/>
      <c r="M9" s="121">
        <f>+'2'!$M$8</f>
        <v>0</v>
      </c>
      <c r="N9" s="106">
        <f>+'2'!$O$36</f>
        <v>0</v>
      </c>
      <c r="O9" s="106">
        <f t="shared" ref="O9:O37" si="2">+IF(L9="ESTERNO",IF(N9&lt;(M9*$M$2),IF(N9*$M$4&lt;$M$5,N9*$M$4,$M$5),IF(M9*$M$2*$M$4&lt;$M$5,M9*$M$2*$M$4,$M$5)),IF(N9&lt;(M9*$M$3),IF(N9*$M$4&lt;$M$5,N9*$M$4,$M$5),IF(M9*$M$3*$M$4&lt;$M$5,M9*$M$3*$M$4,$M$5)))</f>
        <v>0</v>
      </c>
      <c r="P9" s="107"/>
      <c r="Q9" s="121">
        <f>+'2'!$R$9</f>
        <v>0</v>
      </c>
      <c r="R9" s="106">
        <f>+'2'!$T$36</f>
        <v>0</v>
      </c>
      <c r="S9" s="106"/>
      <c r="T9" s="121">
        <f>+'2'!$W$9</f>
        <v>0</v>
      </c>
      <c r="U9" s="106">
        <f>+'2'!$Y$36</f>
        <v>0</v>
      </c>
      <c r="V9" s="106"/>
      <c r="W9" s="121">
        <f>+Riassunto!K5</f>
        <v>983.9</v>
      </c>
      <c r="X9" s="106">
        <f>+'2'!$AD$36</f>
        <v>0</v>
      </c>
      <c r="Y9" s="106"/>
      <c r="Z9" s="106"/>
      <c r="AC9" s="146">
        <f t="shared" ref="AC9:AC37" si="3">+Y9+V9+S9+O9+K9+G9+Z9</f>
        <v>0</v>
      </c>
    </row>
    <row r="10" spans="2:29" ht="16.5" customHeight="1" x14ac:dyDescent="0.3">
      <c r="B10" s="3">
        <v>3</v>
      </c>
      <c r="C10" s="3">
        <f>+Riassunto!C6</f>
        <v>3</v>
      </c>
      <c r="D10" s="27" t="str">
        <f>+Riassunto!D6</f>
        <v>S. Paolo Museo - Ex Chiesa</v>
      </c>
      <c r="E10" s="107"/>
      <c r="F10" s="105">
        <f>+'3'!$E$36+'3'!$E$49+'3'!$E$66</f>
        <v>780</v>
      </c>
      <c r="G10" s="106">
        <f t="shared" si="0"/>
        <v>0</v>
      </c>
      <c r="H10" s="138"/>
      <c r="I10" s="139"/>
      <c r="J10" s="106"/>
      <c r="K10" s="106">
        <f t="shared" si="1"/>
        <v>0</v>
      </c>
      <c r="L10" s="107"/>
      <c r="M10" s="121">
        <f>+'3'!$M$8</f>
        <v>0</v>
      </c>
      <c r="N10" s="106">
        <f>+'3'!$O$36</f>
        <v>0</v>
      </c>
      <c r="O10" s="106">
        <f t="shared" si="2"/>
        <v>0</v>
      </c>
      <c r="P10" s="107"/>
      <c r="Q10" s="121">
        <f>+'3'!$R$9</f>
        <v>0</v>
      </c>
      <c r="R10" s="106">
        <f>+'3'!$T$36</f>
        <v>0</v>
      </c>
      <c r="S10" s="106"/>
      <c r="T10" s="121">
        <f>+'3'!$W$9</f>
        <v>0</v>
      </c>
      <c r="U10" s="106">
        <f>+'3'!$Y$36</f>
        <v>0</v>
      </c>
      <c r="V10" s="106"/>
      <c r="W10" s="121">
        <f>+Riassunto!K6</f>
        <v>538.79999999999995</v>
      </c>
      <c r="X10" s="106">
        <f>+'3'!$AD$36</f>
        <v>0</v>
      </c>
      <c r="Y10" s="106"/>
      <c r="Z10" s="106"/>
      <c r="AC10" s="146">
        <f t="shared" si="3"/>
        <v>0</v>
      </c>
    </row>
    <row r="11" spans="2:29" ht="16.5" customHeight="1" x14ac:dyDescent="0.3">
      <c r="B11" s="3">
        <v>4</v>
      </c>
      <c r="C11" s="3">
        <f>+Riassunto!C7</f>
        <v>3</v>
      </c>
      <c r="D11" s="27" t="str">
        <f>+Riassunto!D7</f>
        <v>S. Paolo Museo - Uffici</v>
      </c>
      <c r="E11" s="107"/>
      <c r="F11" s="105">
        <f>+'4'!$E$36+'4'!$E$49+'4'!$E$66</f>
        <v>780</v>
      </c>
      <c r="G11" s="106">
        <f t="shared" si="0"/>
        <v>0</v>
      </c>
      <c r="H11" s="138"/>
      <c r="I11" s="139"/>
      <c r="J11" s="106"/>
      <c r="K11" s="106">
        <f t="shared" si="1"/>
        <v>0</v>
      </c>
      <c r="L11" s="107"/>
      <c r="M11" s="121">
        <f>+'4'!$M$8</f>
        <v>0</v>
      </c>
      <c r="N11" s="106">
        <f>+'4'!$O$36</f>
        <v>0</v>
      </c>
      <c r="O11" s="106">
        <f t="shared" si="2"/>
        <v>0</v>
      </c>
      <c r="P11" s="107"/>
      <c r="Q11" s="121">
        <f>+'4'!$R$9</f>
        <v>0</v>
      </c>
      <c r="R11" s="106">
        <f>+'4'!$T$36</f>
        <v>0</v>
      </c>
      <c r="S11" s="106"/>
      <c r="T11" s="121">
        <f>+'4'!$W$9</f>
        <v>0</v>
      </c>
      <c r="U11" s="106">
        <f>+'4'!$Y$36</f>
        <v>0</v>
      </c>
      <c r="V11" s="106"/>
      <c r="W11" s="121">
        <f>+Riassunto!K7</f>
        <v>379.47</v>
      </c>
      <c r="X11" s="106">
        <f>+'4'!$AD$36</f>
        <v>0</v>
      </c>
      <c r="Y11" s="106"/>
      <c r="Z11" s="106"/>
      <c r="AC11" s="146">
        <f t="shared" si="3"/>
        <v>0</v>
      </c>
    </row>
    <row r="12" spans="2:29" ht="15.75" customHeight="1" x14ac:dyDescent="0.3">
      <c r="B12" s="3">
        <v>5</v>
      </c>
      <c r="C12" s="3">
        <f>+Riassunto!C8</f>
        <v>6</v>
      </c>
      <c r="D12" s="27" t="str">
        <f>+Riassunto!D8</f>
        <v>Centro La Ginestra / Casa Albergo</v>
      </c>
      <c r="E12" s="107">
        <v>97.5</v>
      </c>
      <c r="F12" s="105">
        <f>+'5'!$E$37+'5'!$E$50+'5'!$E$67</f>
        <v>29310</v>
      </c>
      <c r="G12" s="106">
        <f t="shared" si="0"/>
        <v>5070</v>
      </c>
      <c r="H12" s="138">
        <f>+I3*2</f>
        <v>7.82</v>
      </c>
      <c r="I12" s="139">
        <f>+$I$2/$I$3</f>
        <v>647.57033248081837</v>
      </c>
      <c r="J12" s="106">
        <v>0.35</v>
      </c>
      <c r="K12" s="106">
        <f t="shared" si="1"/>
        <v>3544.7999999999997</v>
      </c>
      <c r="L12" s="107"/>
      <c r="M12" s="121">
        <f>+'5'!$M$8</f>
        <v>0</v>
      </c>
      <c r="N12" s="106">
        <f>+'5'!$O$37</f>
        <v>0</v>
      </c>
      <c r="O12" s="106">
        <f t="shared" si="2"/>
        <v>0</v>
      </c>
      <c r="P12" s="107"/>
      <c r="Q12" s="121">
        <f>+'5'!$R$9</f>
        <v>0</v>
      </c>
      <c r="R12" s="106">
        <f>+'5'!$T$37</f>
        <v>0</v>
      </c>
      <c r="S12" s="106"/>
      <c r="T12" s="121">
        <f>+'5'!$W$9</f>
        <v>0</v>
      </c>
      <c r="U12" s="106">
        <f>+'5'!$Y$37</f>
        <v>0</v>
      </c>
      <c r="V12" s="106"/>
      <c r="W12" s="121">
        <f>+Riassunto!K8</f>
        <v>892.6</v>
      </c>
      <c r="X12" s="106">
        <f>+'5'!$AD$37</f>
        <v>0</v>
      </c>
      <c r="Y12" s="106"/>
      <c r="Z12" s="106"/>
      <c r="AC12" s="146">
        <f t="shared" si="3"/>
        <v>8614.7999999999993</v>
      </c>
    </row>
    <row r="13" spans="2:29" ht="15" customHeight="1" x14ac:dyDescent="0.3">
      <c r="B13" s="3">
        <v>6</v>
      </c>
      <c r="C13" s="3">
        <f>+Riassunto!C9</f>
        <v>14</v>
      </c>
      <c r="D13" s="27" t="str">
        <f>+Riassunto!D9</f>
        <v>Biblioteca</v>
      </c>
      <c r="E13" s="107"/>
      <c r="F13" s="105">
        <f>+'6'!$E$36+'6'!$E$49+'6'!$E$66</f>
        <v>4030</v>
      </c>
      <c r="G13" s="106">
        <f t="shared" si="0"/>
        <v>0</v>
      </c>
      <c r="H13" s="138"/>
      <c r="I13" s="139"/>
      <c r="J13" s="106"/>
      <c r="K13" s="106">
        <f t="shared" si="1"/>
        <v>0</v>
      </c>
      <c r="L13" s="107"/>
      <c r="M13" s="121">
        <f>+'6'!$M$8</f>
        <v>0</v>
      </c>
      <c r="N13" s="106">
        <f>+'6'!$O$36</f>
        <v>0</v>
      </c>
      <c r="O13" s="106">
        <f t="shared" si="2"/>
        <v>0</v>
      </c>
      <c r="P13" s="107"/>
      <c r="Q13" s="121">
        <f>+'6'!$R$9</f>
        <v>0</v>
      </c>
      <c r="R13" s="106">
        <f>+'6'!$T$36</f>
        <v>0</v>
      </c>
      <c r="S13" s="106"/>
      <c r="T13" s="121">
        <f>+'6'!$W$9</f>
        <v>0</v>
      </c>
      <c r="U13" s="106">
        <f>+'6'!$Y$36</f>
        <v>0</v>
      </c>
      <c r="V13" s="106"/>
      <c r="W13" s="121">
        <f>+Riassunto!K9</f>
        <v>490</v>
      </c>
      <c r="X13" s="106">
        <f>+'6'!$AD$36</f>
        <v>0</v>
      </c>
      <c r="Y13" s="106"/>
      <c r="Z13" s="106"/>
      <c r="AC13" s="146">
        <f t="shared" si="3"/>
        <v>0</v>
      </c>
    </row>
    <row r="14" spans="2:29" ht="15" customHeight="1" x14ac:dyDescent="0.3">
      <c r="B14" s="3">
        <v>7</v>
      </c>
      <c r="C14" s="3">
        <f>+Riassunto!C10</f>
        <v>25</v>
      </c>
      <c r="D14" s="27" t="str">
        <f>+Riassunto!D10</f>
        <v>Palestra G.Cini/Tortorini</v>
      </c>
      <c r="E14" s="107"/>
      <c r="F14" s="105">
        <f>+'7'!$E$36+'7'!$E$49+'7'!$E$66</f>
        <v>3220</v>
      </c>
      <c r="G14" s="106">
        <f t="shared" si="0"/>
        <v>0</v>
      </c>
      <c r="H14" s="138"/>
      <c r="I14" s="139"/>
      <c r="J14" s="106"/>
      <c r="K14" s="106">
        <f t="shared" si="1"/>
        <v>0</v>
      </c>
      <c r="L14" s="107"/>
      <c r="M14" s="121">
        <f>+'7'!$M$8</f>
        <v>0</v>
      </c>
      <c r="N14" s="106">
        <f>+'7'!$O$36</f>
        <v>0</v>
      </c>
      <c r="O14" s="106">
        <f t="shared" si="2"/>
        <v>0</v>
      </c>
      <c r="P14" s="107"/>
      <c r="Q14" s="121">
        <f>+'7'!$R$9</f>
        <v>0</v>
      </c>
      <c r="R14" s="106">
        <f>+'7'!$T$36</f>
        <v>0</v>
      </c>
      <c r="S14" s="106"/>
      <c r="T14" s="121">
        <f>+'7'!$W$9</f>
        <v>0</v>
      </c>
      <c r="U14" s="106">
        <f>+'7'!$Y$36</f>
        <v>0</v>
      </c>
      <c r="V14" s="106"/>
      <c r="W14" s="121">
        <f>+Riassunto!K10</f>
        <v>346.4</v>
      </c>
      <c r="X14" s="106">
        <f>+'7'!$AD$36</f>
        <v>0</v>
      </c>
      <c r="Y14" s="106"/>
      <c r="Z14" s="106"/>
      <c r="AC14" s="146">
        <f t="shared" si="3"/>
        <v>0</v>
      </c>
    </row>
    <row r="15" spans="2:29" x14ac:dyDescent="0.3">
      <c r="B15" s="3">
        <v>8</v>
      </c>
      <c r="C15" s="3">
        <f>+Riassunto!C11</f>
        <v>26</v>
      </c>
      <c r="D15" s="27" t="str">
        <f>+Riassunto!D11</f>
        <v>Scuola Materna Tortorini</v>
      </c>
      <c r="E15" s="107">
        <f>88.3*2</f>
        <v>176.6</v>
      </c>
      <c r="F15" s="105">
        <f>+'8'!$E$37+'8'!$E$50+'8'!$E$67</f>
        <v>33760</v>
      </c>
      <c r="G15" s="106">
        <f t="shared" si="0"/>
        <v>9183.2000000000007</v>
      </c>
      <c r="H15" s="138"/>
      <c r="I15" s="139">
        <f>+$I$2/$I$3</f>
        <v>647.57033248081837</v>
      </c>
      <c r="J15" s="106">
        <v>0.35</v>
      </c>
      <c r="K15" s="106">
        <f t="shared" si="1"/>
        <v>0</v>
      </c>
      <c r="L15" s="107"/>
      <c r="M15" s="121">
        <f>+'8'!$M$8</f>
        <v>0</v>
      </c>
      <c r="N15" s="106">
        <f>+'8'!$O$37</f>
        <v>0</v>
      </c>
      <c r="O15" s="106">
        <f t="shared" si="2"/>
        <v>0</v>
      </c>
      <c r="P15" s="107"/>
      <c r="Q15" s="121">
        <f>+'8'!$R$9</f>
        <v>0</v>
      </c>
      <c r="R15" s="106">
        <f>+'8'!$T$37</f>
        <v>0</v>
      </c>
      <c r="S15" s="106"/>
      <c r="T15" s="121">
        <f>+'8'!$W$9</f>
        <v>0</v>
      </c>
      <c r="U15" s="106">
        <f>+'8'!$Y$37</f>
        <v>0</v>
      </c>
      <c r="V15" s="106"/>
      <c r="W15" s="121">
        <f>+Riassunto!K11</f>
        <v>1112.0999999999999</v>
      </c>
      <c r="X15" s="106">
        <f>+'8'!$AD$37</f>
        <v>0</v>
      </c>
      <c r="Y15" s="106"/>
      <c r="Z15" s="106"/>
      <c r="AC15" s="146">
        <f t="shared" si="3"/>
        <v>9183.2000000000007</v>
      </c>
    </row>
    <row r="16" spans="2:29" ht="15" customHeight="1" x14ac:dyDescent="0.3">
      <c r="B16" s="3">
        <v>9</v>
      </c>
      <c r="C16" s="3">
        <f>+Riassunto!C12</f>
        <v>30</v>
      </c>
      <c r="D16" s="27" t="str">
        <f>+Riassunto!D12</f>
        <v>Scuola Elementare Giorgio Cini</v>
      </c>
      <c r="E16" s="107">
        <f>129*2</f>
        <v>258</v>
      </c>
      <c r="F16" s="105">
        <f>+'9'!$E$36+'9'!$E$49+'9'!$E$66</f>
        <v>40400</v>
      </c>
      <c r="G16" s="106">
        <f t="shared" si="0"/>
        <v>13416</v>
      </c>
      <c r="H16" s="138"/>
      <c r="I16" s="139"/>
      <c r="J16" s="106"/>
      <c r="K16" s="106">
        <f t="shared" si="1"/>
        <v>0</v>
      </c>
      <c r="L16" s="107"/>
      <c r="M16" s="121">
        <f>+'9'!$M$8</f>
        <v>0</v>
      </c>
      <c r="N16" s="106">
        <f>+'9'!$O$36</f>
        <v>0</v>
      </c>
      <c r="O16" s="106">
        <f t="shared" si="2"/>
        <v>0</v>
      </c>
      <c r="P16" s="107"/>
      <c r="Q16" s="121">
        <f>+'9'!$R$9</f>
        <v>0</v>
      </c>
      <c r="R16" s="106">
        <f>+'9'!$T$36</f>
        <v>0</v>
      </c>
      <c r="S16" s="106"/>
      <c r="T16" s="121">
        <f>+'9'!$W$9</f>
        <v>0</v>
      </c>
      <c r="U16" s="106">
        <f>+'9'!$Y$36</f>
        <v>0</v>
      </c>
      <c r="V16" s="106"/>
      <c r="W16" s="121">
        <f>+Riassunto!K12</f>
        <v>2164</v>
      </c>
      <c r="X16" s="106">
        <f>+'9'!$AD$36</f>
        <v>0</v>
      </c>
      <c r="Y16" s="106"/>
      <c r="Z16" s="106"/>
      <c r="AC16" s="146">
        <f t="shared" si="3"/>
        <v>13416</v>
      </c>
    </row>
    <row r="17" spans="2:29" ht="15" customHeight="1" x14ac:dyDescent="0.3">
      <c r="B17" s="3">
        <v>10</v>
      </c>
      <c r="C17" s="3">
        <f>+Riassunto!C13</f>
        <v>43</v>
      </c>
      <c r="D17" s="27" t="str">
        <f>+Riassunto!D13</f>
        <v>Associazione Itaka</v>
      </c>
      <c r="E17" s="107">
        <v>30</v>
      </c>
      <c r="F17" s="105">
        <f>+'10'!$E$36+'10'!$E$49+'10'!$E$66</f>
        <v>7110</v>
      </c>
      <c r="G17" s="106">
        <f t="shared" si="0"/>
        <v>1920</v>
      </c>
      <c r="H17" s="138"/>
      <c r="I17" s="139"/>
      <c r="J17" s="106"/>
      <c r="K17" s="106">
        <f t="shared" si="1"/>
        <v>0</v>
      </c>
      <c r="L17" s="107" t="s">
        <v>382</v>
      </c>
      <c r="M17" s="121">
        <f>+'10'!$M$8</f>
        <v>95</v>
      </c>
      <c r="N17" s="106">
        <f>+'10'!$O$36</f>
        <v>4300</v>
      </c>
      <c r="O17" s="106">
        <f t="shared" si="2"/>
        <v>2150</v>
      </c>
      <c r="P17" s="107"/>
      <c r="Q17" s="121">
        <f>+'10'!$R$9</f>
        <v>0</v>
      </c>
      <c r="R17" s="106">
        <f>+'10'!$T$36</f>
        <v>0</v>
      </c>
      <c r="S17" s="106"/>
      <c r="T17" s="121">
        <f>+'10'!$W$9</f>
        <v>0</v>
      </c>
      <c r="U17" s="106">
        <f>+'10'!$Y$36</f>
        <v>0</v>
      </c>
      <c r="V17" s="106"/>
      <c r="W17" s="121">
        <f>+Riassunto!K13</f>
        <v>181.4</v>
      </c>
      <c r="X17" s="106">
        <f>+'10'!$AD$36</f>
        <v>0</v>
      </c>
      <c r="Y17" s="106"/>
      <c r="Z17" s="106"/>
      <c r="AC17" s="146">
        <f t="shared" si="3"/>
        <v>4070</v>
      </c>
    </row>
    <row r="18" spans="2:29" x14ac:dyDescent="0.3">
      <c r="B18" s="3">
        <v>11</v>
      </c>
      <c r="C18" s="3">
        <f>+Riassunto!C14</f>
        <v>47</v>
      </c>
      <c r="D18" s="27" t="str">
        <f>+Riassunto!D14</f>
        <v>Chiesetta Solario</v>
      </c>
      <c r="E18" s="107"/>
      <c r="F18" s="105">
        <f>+'11'!$E$36+'11'!$E$49+'11'!$E$66</f>
        <v>780</v>
      </c>
      <c r="G18" s="106">
        <f t="shared" si="0"/>
        <v>0</v>
      </c>
      <c r="H18" s="138"/>
      <c r="I18" s="139"/>
      <c r="J18" s="106"/>
      <c r="K18" s="106">
        <f t="shared" si="1"/>
        <v>0</v>
      </c>
      <c r="L18" s="107"/>
      <c r="M18" s="121">
        <f>+'11'!$M$8</f>
        <v>0</v>
      </c>
      <c r="N18" s="106">
        <f>+'11'!$O$36</f>
        <v>0</v>
      </c>
      <c r="O18" s="106">
        <f t="shared" si="2"/>
        <v>0</v>
      </c>
      <c r="P18" s="107"/>
      <c r="Q18" s="121">
        <f>+'11'!$R$9</f>
        <v>0</v>
      </c>
      <c r="R18" s="106">
        <f>+'11'!$T$36</f>
        <v>0</v>
      </c>
      <c r="S18" s="106"/>
      <c r="T18" s="121">
        <f>+'11'!$W$9</f>
        <v>0</v>
      </c>
      <c r="U18" s="106">
        <f>+'11'!$Y$36</f>
        <v>0</v>
      </c>
      <c r="V18" s="106"/>
      <c r="W18" s="121">
        <f>+Riassunto!K14</f>
        <v>81</v>
      </c>
      <c r="X18" s="106">
        <f>+'11'!$AD$36</f>
        <v>0</v>
      </c>
      <c r="Y18" s="106"/>
      <c r="Z18" s="106"/>
      <c r="AC18" s="146">
        <f t="shared" si="3"/>
        <v>0</v>
      </c>
    </row>
    <row r="19" spans="2:29" x14ac:dyDescent="0.3">
      <c r="B19" s="3">
        <v>12</v>
      </c>
      <c r="C19" s="3">
        <f>+Riassunto!C15</f>
        <v>27</v>
      </c>
      <c r="D19" s="27" t="str">
        <f>+Riassunto!D15</f>
        <v>Scuola Materna S.M. Goretti</v>
      </c>
      <c r="E19" s="107">
        <v>88.3</v>
      </c>
      <c r="F19" s="105">
        <f>+'12'!$E$36+'12'!$E$49+'12'!$E$66</f>
        <v>22120</v>
      </c>
      <c r="G19" s="106">
        <f t="shared" si="0"/>
        <v>4591.6000000000004</v>
      </c>
      <c r="H19" s="138">
        <f>+I4</f>
        <v>2.77</v>
      </c>
      <c r="I19" s="139">
        <f>+$I$2/$I$3</f>
        <v>647.57033248081837</v>
      </c>
      <c r="J19" s="106">
        <v>0.35</v>
      </c>
      <c r="K19" s="106">
        <f>+IF(H19&lt;50,2*H19*I19*J19,5*H19*I19*J19)</f>
        <v>1255.6388746803068</v>
      </c>
      <c r="L19" s="107"/>
      <c r="M19" s="121">
        <f>+'12'!$M$8</f>
        <v>0</v>
      </c>
      <c r="N19" s="106">
        <f>+'12'!$O$36</f>
        <v>0</v>
      </c>
      <c r="O19" s="106">
        <f t="shared" si="2"/>
        <v>0</v>
      </c>
      <c r="P19" s="107"/>
      <c r="Q19" s="121">
        <f>+'12'!$R$9</f>
        <v>0</v>
      </c>
      <c r="R19" s="106">
        <f>+'12'!$T$36</f>
        <v>0</v>
      </c>
      <c r="S19" s="106"/>
      <c r="T19" s="121">
        <f>+'12'!$W$9</f>
        <v>0</v>
      </c>
      <c r="U19" s="106">
        <f>+'12'!$Y$36</f>
        <v>0</v>
      </c>
      <c r="V19" s="106"/>
      <c r="W19" s="121">
        <f>+Riassunto!K15</f>
        <v>582.70000000000005</v>
      </c>
      <c r="X19" s="106">
        <f>+'12'!$AD$36</f>
        <v>0</v>
      </c>
      <c r="Y19" s="106"/>
      <c r="Z19" s="106"/>
      <c r="AC19" s="146">
        <f t="shared" si="3"/>
        <v>5847.2388746803072</v>
      </c>
    </row>
    <row r="20" spans="2:29" x14ac:dyDescent="0.3">
      <c r="B20" s="3">
        <v>13</v>
      </c>
      <c r="C20" s="3">
        <f>+Riassunto!C16</f>
        <v>28</v>
      </c>
      <c r="D20" s="27" t="str">
        <f>+Riassunto!D16</f>
        <v>Scuola Materna S.M. Carmine</v>
      </c>
      <c r="E20" s="107"/>
      <c r="F20" s="105">
        <f>+'13'!$E$36+'13'!$E$49+'13'!$E$66</f>
        <v>3780</v>
      </c>
      <c r="G20" s="106">
        <f t="shared" si="0"/>
        <v>0</v>
      </c>
      <c r="H20" s="138"/>
      <c r="I20" s="139"/>
      <c r="J20" s="106"/>
      <c r="K20" s="106">
        <f t="shared" ref="K20:K37" si="4">+IF(H20&lt;50,2*H20*I20*J20,5*H20*I20*J20)</f>
        <v>0</v>
      </c>
      <c r="L20" s="107"/>
      <c r="M20" s="121">
        <f>+'13'!$M$8</f>
        <v>0</v>
      </c>
      <c r="N20" s="106">
        <f>+'13'!$O$36</f>
        <v>0</v>
      </c>
      <c r="O20" s="106">
        <f t="shared" si="2"/>
        <v>0</v>
      </c>
      <c r="P20" s="107"/>
      <c r="Q20" s="121">
        <f>+'13'!$R$9</f>
        <v>0</v>
      </c>
      <c r="R20" s="106">
        <f>+'13'!$T$36</f>
        <v>0</v>
      </c>
      <c r="S20" s="106"/>
      <c r="T20" s="121">
        <f>+'13'!$W$9</f>
        <v>0</v>
      </c>
      <c r="U20" s="106">
        <f>+'13'!$Y$36</f>
        <v>0</v>
      </c>
      <c r="V20" s="106"/>
      <c r="W20" s="121">
        <f>+Riassunto!K16</f>
        <v>697.6</v>
      </c>
      <c r="X20" s="106">
        <f>+'13'!$AD$36</f>
        <v>0</v>
      </c>
      <c r="Y20" s="106"/>
      <c r="Z20" s="106"/>
      <c r="AC20" s="146">
        <f t="shared" si="3"/>
        <v>0</v>
      </c>
    </row>
    <row r="21" spans="2:29" x14ac:dyDescent="0.3">
      <c r="B21" s="3">
        <v>14</v>
      </c>
      <c r="C21" s="3">
        <f>+Riassunto!C17</f>
        <v>29</v>
      </c>
      <c r="D21" s="27" t="str">
        <f>+Riassunto!D17</f>
        <v>Scuola Elementare V.Emanuele</v>
      </c>
      <c r="E21" s="107">
        <f>129*2</f>
        <v>258</v>
      </c>
      <c r="F21" s="105">
        <f>+'14'!$E$36+'14'!$E$49+'14'!$E$66</f>
        <v>30880</v>
      </c>
      <c r="G21" s="106">
        <f t="shared" si="0"/>
        <v>12352</v>
      </c>
      <c r="H21" s="138"/>
      <c r="I21" s="139"/>
      <c r="J21" s="106"/>
      <c r="K21" s="106">
        <f t="shared" si="4"/>
        <v>0</v>
      </c>
      <c r="L21" s="107" t="s">
        <v>382</v>
      </c>
      <c r="M21" s="121">
        <f>+'14'!$M$8</f>
        <v>735</v>
      </c>
      <c r="N21" s="106">
        <f>+'14'!$O$36</f>
        <v>30400</v>
      </c>
      <c r="O21" s="106">
        <f t="shared" si="2"/>
        <v>15200</v>
      </c>
      <c r="P21" s="107"/>
      <c r="Q21" s="121">
        <f>+'14'!$R$9</f>
        <v>0</v>
      </c>
      <c r="R21" s="106">
        <f>+'14'!$T$36</f>
        <v>0</v>
      </c>
      <c r="S21" s="106"/>
      <c r="T21" s="121">
        <f>+'14'!$W$9</f>
        <v>0</v>
      </c>
      <c r="U21" s="106">
        <f>+'14'!$Y$36</f>
        <v>0</v>
      </c>
      <c r="V21" s="106"/>
      <c r="W21" s="121">
        <f>+Riassunto!K17</f>
        <v>1446</v>
      </c>
      <c r="X21" s="106">
        <f>+'14'!$AD$36</f>
        <v>0</v>
      </c>
      <c r="Y21" s="106"/>
      <c r="Z21" s="106"/>
      <c r="AC21" s="146">
        <f t="shared" si="3"/>
        <v>27552</v>
      </c>
    </row>
    <row r="22" spans="2:29" x14ac:dyDescent="0.3">
      <c r="B22" s="3">
        <v>15</v>
      </c>
      <c r="C22" s="3">
        <f>+Riassunto!C18</f>
        <v>31</v>
      </c>
      <c r="D22" s="27" t="str">
        <f>+Riassunto!D18</f>
        <v>Scuola Elementare Vittorio Cini</v>
      </c>
      <c r="E22" s="107"/>
      <c r="F22" s="105">
        <f>+'15'!$E$36+'15'!$E$49+'15'!$E$66</f>
        <v>2370</v>
      </c>
      <c r="G22" s="106">
        <f t="shared" si="0"/>
        <v>0</v>
      </c>
      <c r="H22" s="138"/>
      <c r="I22" s="139"/>
      <c r="J22" s="106"/>
      <c r="K22" s="106">
        <f t="shared" si="4"/>
        <v>0</v>
      </c>
      <c r="L22" s="107"/>
      <c r="M22" s="121">
        <f>+'15'!$M$8</f>
        <v>0</v>
      </c>
      <c r="N22" s="106">
        <f>+'15'!$O$36</f>
        <v>0</v>
      </c>
      <c r="O22" s="106">
        <f t="shared" si="2"/>
        <v>0</v>
      </c>
      <c r="P22" s="107"/>
      <c r="Q22" s="121">
        <f>+'15'!$R$9</f>
        <v>0</v>
      </c>
      <c r="R22" s="106">
        <f>+'15'!$T$36</f>
        <v>0</v>
      </c>
      <c r="S22" s="106"/>
      <c r="T22" s="121">
        <f>+'15'!$W$9</f>
        <v>0</v>
      </c>
      <c r="U22" s="106">
        <f>+'15'!$Y$36</f>
        <v>0</v>
      </c>
      <c r="V22" s="106"/>
      <c r="W22" s="121">
        <f>+Riassunto!K18</f>
        <v>637.70000000000005</v>
      </c>
      <c r="X22" s="106">
        <f>+'15'!$AD$36</f>
        <v>0</v>
      </c>
      <c r="Y22" s="106"/>
      <c r="Z22" s="106"/>
      <c r="AC22" s="146">
        <f t="shared" si="3"/>
        <v>0</v>
      </c>
    </row>
    <row r="23" spans="2:29" x14ac:dyDescent="0.3">
      <c r="B23" s="3">
        <v>16</v>
      </c>
      <c r="C23" s="3">
        <f>+Riassunto!C19</f>
        <v>32</v>
      </c>
      <c r="D23" s="27" t="str">
        <f>+Riassunto!D19</f>
        <v>Scuola Elementare D. Valeri</v>
      </c>
      <c r="E23" s="107">
        <f>109.8*2</f>
        <v>219.6</v>
      </c>
      <c r="F23" s="105">
        <f>+'16'!$E$36+'16'!$E$49+'16'!$E$66</f>
        <v>32190</v>
      </c>
      <c r="G23" s="106">
        <f>+IF(E23&gt;35,IF(F23&lt;(E23*$E$2),IF(F23*$E$4&lt;$E$5,F23*$E$4,$E$5),IF(E23*$E$2*$E$4&lt;$E$5,E23*$E$2*$E$4,$E$5)),IF(F23&lt;(E23*$E$3),IF(F23*$E$4&lt;$E$6,F23*$E$4,$E$6),IF(E23*$E$3*$E$4&lt;$E$6,E23*$E$3*$E$4,$E$6)))</f>
        <v>11419.2</v>
      </c>
      <c r="H23" s="138"/>
      <c r="I23" s="139"/>
      <c r="J23" s="106"/>
      <c r="K23" s="106">
        <f t="shared" si="4"/>
        <v>0</v>
      </c>
      <c r="L23" s="107"/>
      <c r="M23" s="121">
        <f>+'16'!$M$8</f>
        <v>0</v>
      </c>
      <c r="N23" s="106">
        <f>+'16'!$O$36</f>
        <v>0</v>
      </c>
      <c r="O23" s="106">
        <f t="shared" si="2"/>
        <v>0</v>
      </c>
      <c r="P23" s="107"/>
      <c r="Q23" s="121">
        <f>+'16'!$R$9</f>
        <v>0</v>
      </c>
      <c r="R23" s="106">
        <f>+'16'!$T$36</f>
        <v>0</v>
      </c>
      <c r="S23" s="106">
        <f>+IF(P23="ESTERNO",IF(R23&lt;(Q23*$Q$2),IF(R23*$Q$4&lt;$Q$5,R23*$Q$4,$Q$5),IF(Q23*$Q$2*$Q$4&lt;$Q$5,Q23*$Q$2*$Q$4,$Q$5)),IF(R23&lt;(Q23*$Q$3),IF(R23*$Q$4&lt;$Q$5,R23*$Q$4,$Q$5),IF(Q23*$Q$3*$Q$4&lt;$Q$5,Q23*$Q$3*$Q$4,$Q$5)))</f>
        <v>0</v>
      </c>
      <c r="T23" s="121">
        <f>+'16'!$W$9</f>
        <v>0</v>
      </c>
      <c r="U23" s="106">
        <f>+'16'!$Y$36</f>
        <v>0</v>
      </c>
      <c r="V23" s="106">
        <f>+IF(U23&lt;(T23*$U$2),IF(U23*$U$4&lt;$U$5,U23*$U$4,$U$5),IF(T23*$U$2*$U$4&lt;$U$5,T23*$U$2*$U$4,$U$5))</f>
        <v>0</v>
      </c>
      <c r="W23" s="121">
        <f>+Riassunto!K19</f>
        <v>1468</v>
      </c>
      <c r="X23" s="106">
        <f>+'16'!$AD$36</f>
        <v>0</v>
      </c>
      <c r="Y23" s="106">
        <f>+IF(X23&lt;(W23*$X$2),IF(X23*$X$4&lt;$X$5,X23*$X$4,$X$5),IF(W23*$X$2*$X$4&lt;$X$5,W23*$X$2*$X$4,$X$5))</f>
        <v>0</v>
      </c>
      <c r="Z23" s="106"/>
      <c r="AC23" s="146">
        <f t="shared" si="3"/>
        <v>11419.2</v>
      </c>
    </row>
    <row r="24" spans="2:29" ht="15.75" customHeight="1" x14ac:dyDescent="0.3">
      <c r="B24" s="3">
        <v>17</v>
      </c>
      <c r="C24" s="3">
        <f>+Riassunto!C20</f>
        <v>33</v>
      </c>
      <c r="D24" s="27" t="str">
        <f>+Riassunto!D20</f>
        <v>Scuola Elementare D. Manin</v>
      </c>
      <c r="E24" s="107">
        <v>109.8</v>
      </c>
      <c r="F24" s="105">
        <f>+'17'!$E$36+'17'!$E$49+'17'!$E$66</f>
        <v>21620</v>
      </c>
      <c r="G24" s="106">
        <f t="shared" ref="G24:G37" si="5">+IF(E24&gt;35,IF(F24&lt;(E24*$E$2),IF(F24*$E$4&lt;$E$5,F24*$E$4,$E$5),IF(E24*$E$2*$E$4&lt;$E$5,E24*$E$2*$E$4,$E$5)),IF(F24&lt;(E24*$E$3),IF(F24*$E$4&lt;$E$6,F24*$E$4,$E$6),IF(E24*$E$3*$E$4&lt;$E$6,E24*$E$3*$E$4,$E$6)))</f>
        <v>5709.6</v>
      </c>
      <c r="H24" s="138"/>
      <c r="I24" s="139"/>
      <c r="J24" s="106"/>
      <c r="K24" s="106">
        <f t="shared" si="4"/>
        <v>0</v>
      </c>
      <c r="L24" s="107" t="s">
        <v>382</v>
      </c>
      <c r="M24" s="121">
        <f>+'17'!$M$8</f>
        <v>236</v>
      </c>
      <c r="N24" s="106">
        <f>+'17'!$O$36</f>
        <v>10440</v>
      </c>
      <c r="O24" s="106">
        <f t="shared" si="2"/>
        <v>5220</v>
      </c>
      <c r="P24" s="107"/>
      <c r="Q24" s="121">
        <f>+'17'!$R$9</f>
        <v>0</v>
      </c>
      <c r="R24" s="106">
        <f>+'17'!$T$36</f>
        <v>0</v>
      </c>
      <c r="S24" s="106"/>
      <c r="T24" s="121">
        <f>+'17'!$W$9</f>
        <v>0</v>
      </c>
      <c r="U24" s="106">
        <f>+'17'!$Y$36</f>
        <v>0</v>
      </c>
      <c r="V24" s="106"/>
      <c r="W24" s="121">
        <f>+Riassunto!K20</f>
        <v>826.3</v>
      </c>
      <c r="X24" s="106">
        <f>+'17'!$AD$36</f>
        <v>0</v>
      </c>
      <c r="Y24" s="106"/>
      <c r="Z24" s="106"/>
      <c r="AC24" s="146">
        <f t="shared" si="3"/>
        <v>10929.6</v>
      </c>
    </row>
    <row r="25" spans="2:29" ht="16.5" customHeight="1" x14ac:dyDescent="0.3">
      <c r="B25" s="3">
        <v>18</v>
      </c>
      <c r="C25" s="3">
        <f>+Riassunto!C21</f>
        <v>34</v>
      </c>
      <c r="D25" s="27" t="str">
        <f>+Riassunto!D21</f>
        <v>Scuola Elementare B. Bussolin - Scuola e Mensa</v>
      </c>
      <c r="E25" s="107"/>
      <c r="F25" s="105">
        <f>+'18'!$E$36+'18'!$E$49+'18'!$E$66</f>
        <v>9760</v>
      </c>
      <c r="G25" s="106">
        <f t="shared" si="5"/>
        <v>0</v>
      </c>
      <c r="H25" s="138"/>
      <c r="I25" s="139"/>
      <c r="J25" s="106"/>
      <c r="K25" s="106">
        <f t="shared" si="4"/>
        <v>0</v>
      </c>
      <c r="L25" s="107"/>
      <c r="M25" s="121">
        <f>+'18'!$M$8</f>
        <v>0</v>
      </c>
      <c r="N25" s="106">
        <f>+'18'!$O$36</f>
        <v>0</v>
      </c>
      <c r="O25" s="106">
        <f t="shared" si="2"/>
        <v>0</v>
      </c>
      <c r="P25" s="107"/>
      <c r="Q25" s="121">
        <f>+'18'!$R$9</f>
        <v>0</v>
      </c>
      <c r="R25" s="106">
        <f>+'18'!$T$36</f>
        <v>0</v>
      </c>
      <c r="S25" s="106"/>
      <c r="T25" s="121">
        <f>+'18'!$W$9</f>
        <v>0</v>
      </c>
      <c r="U25" s="106">
        <f>+'18'!$Y$36</f>
        <v>0</v>
      </c>
      <c r="V25" s="106"/>
      <c r="W25" s="121">
        <f>+Riassunto!K21</f>
        <v>736.97</v>
      </c>
      <c r="X25" s="106">
        <f>+'18'!$AD$36</f>
        <v>0</v>
      </c>
      <c r="Y25" s="106"/>
      <c r="Z25" s="106"/>
      <c r="AC25" s="146">
        <f t="shared" si="3"/>
        <v>0</v>
      </c>
    </row>
    <row r="26" spans="2:29" ht="16.5" customHeight="1" x14ac:dyDescent="0.3">
      <c r="B26" s="3">
        <v>19</v>
      </c>
      <c r="C26" s="3">
        <f>+Riassunto!C22</f>
        <v>35</v>
      </c>
      <c r="D26" s="27" t="str">
        <f>+Riassunto!D22</f>
        <v>Istituto Comprensivo G.Zanellato - Elementare, Media e Mensa</v>
      </c>
      <c r="E26" s="107">
        <v>100</v>
      </c>
      <c r="F26" s="105">
        <f>+'19'!$E$36+'19'!$E$49+'19'!$E$66</f>
        <v>26980</v>
      </c>
      <c r="G26" s="106">
        <f t="shared" si="5"/>
        <v>5200</v>
      </c>
      <c r="H26" s="138"/>
      <c r="I26" s="139"/>
      <c r="J26" s="106"/>
      <c r="K26" s="106">
        <f t="shared" si="4"/>
        <v>0</v>
      </c>
      <c r="L26" s="107"/>
      <c r="M26" s="121">
        <f>+'19'!$M$8</f>
        <v>0</v>
      </c>
      <c r="N26" s="106">
        <f>+'19'!$O$36</f>
        <v>0</v>
      </c>
      <c r="O26" s="106">
        <f t="shared" si="2"/>
        <v>0</v>
      </c>
      <c r="P26" s="107"/>
      <c r="Q26" s="121">
        <f>+'19'!$R$9</f>
        <v>0</v>
      </c>
      <c r="R26" s="106">
        <f>+'19'!$T$36</f>
        <v>0</v>
      </c>
      <c r="S26" s="106"/>
      <c r="T26" s="121">
        <f>+'19'!$W$9</f>
        <v>0</v>
      </c>
      <c r="U26" s="106">
        <f>+'19'!$Y$36</f>
        <v>0</v>
      </c>
      <c r="V26" s="106"/>
      <c r="W26" s="121">
        <f>+Riassunto!K22</f>
        <v>3809</v>
      </c>
      <c r="X26" s="106">
        <f>+'19'!$AD$36</f>
        <v>0</v>
      </c>
      <c r="Y26" s="106"/>
      <c r="Z26" s="106"/>
      <c r="AC26" s="146">
        <f t="shared" si="3"/>
        <v>5200</v>
      </c>
    </row>
    <row r="27" spans="2:29" ht="15.75" customHeight="1" x14ac:dyDescent="0.3">
      <c r="B27" s="3">
        <v>20</v>
      </c>
      <c r="C27" s="3">
        <f>+Riassunto!C23</f>
        <v>36</v>
      </c>
      <c r="D27" s="27" t="str">
        <f>+Riassunto!D23</f>
        <v>Scuola Media G. Guinizelli</v>
      </c>
      <c r="E27" s="107">
        <v>439.2</v>
      </c>
      <c r="F27" s="105">
        <f>+'20'!$E$38+'20'!$E$51+'20'!$E$68</f>
        <v>51890</v>
      </c>
      <c r="G27" s="106">
        <f t="shared" si="5"/>
        <v>20756</v>
      </c>
      <c r="H27" s="138"/>
      <c r="I27" s="139"/>
      <c r="J27" s="106"/>
      <c r="K27" s="106">
        <f t="shared" si="4"/>
        <v>0</v>
      </c>
      <c r="L27" s="107"/>
      <c r="M27" s="121">
        <f>+'20'!$M$8</f>
        <v>0</v>
      </c>
      <c r="N27" s="106">
        <f>+'20'!$O$38</f>
        <v>0</v>
      </c>
      <c r="O27" s="106">
        <f t="shared" si="2"/>
        <v>0</v>
      </c>
      <c r="P27" s="107"/>
      <c r="Q27" s="121">
        <f>+'20'!$R$9</f>
        <v>0</v>
      </c>
      <c r="R27" s="106">
        <f>+'20'!$T$38</f>
        <v>0</v>
      </c>
      <c r="S27" s="106"/>
      <c r="T27" s="121">
        <f>+'20'!$W$9</f>
        <v>0</v>
      </c>
      <c r="U27" s="106">
        <f>+'20'!$Y$38</f>
        <v>0</v>
      </c>
      <c r="V27" s="106"/>
      <c r="W27" s="121">
        <f>+Riassunto!K23</f>
        <v>2175</v>
      </c>
      <c r="X27" s="106">
        <f>+'20'!$AD$38</f>
        <v>0</v>
      </c>
      <c r="Y27" s="106"/>
      <c r="Z27" s="106"/>
      <c r="AC27" s="146">
        <f t="shared" si="3"/>
        <v>20756</v>
      </c>
    </row>
    <row r="28" spans="2:29" ht="15" customHeight="1" x14ac:dyDescent="0.3">
      <c r="B28" s="3">
        <v>21</v>
      </c>
      <c r="C28" s="3">
        <f>+Riassunto!C24</f>
        <v>39</v>
      </c>
      <c r="D28" s="27" t="str">
        <f>+Riassunto!D24</f>
        <v>Associazione Alpini</v>
      </c>
      <c r="E28" s="107"/>
      <c r="F28" s="105">
        <f>+'21'!$E$36+'21'!$E$49+'21'!$E$66</f>
        <v>0</v>
      </c>
      <c r="G28" s="106">
        <f t="shared" si="5"/>
        <v>0</v>
      </c>
      <c r="H28" s="138"/>
      <c r="I28" s="139"/>
      <c r="J28" s="106"/>
      <c r="K28" s="106">
        <f t="shared" si="4"/>
        <v>0</v>
      </c>
      <c r="L28" s="107"/>
      <c r="M28" s="121">
        <f>+'21'!$M$8</f>
        <v>0</v>
      </c>
      <c r="N28" s="106">
        <f>+'21'!$O$36</f>
        <v>0</v>
      </c>
      <c r="O28" s="106">
        <f t="shared" si="2"/>
        <v>0</v>
      </c>
      <c r="P28" s="107"/>
      <c r="Q28" s="121">
        <f>+'21'!$R$9</f>
        <v>0</v>
      </c>
      <c r="R28" s="106">
        <f>+'21'!$T$36</f>
        <v>0</v>
      </c>
      <c r="S28" s="106"/>
      <c r="T28" s="121">
        <f>+'21'!$W$9</f>
        <v>0</v>
      </c>
      <c r="U28" s="106">
        <f>+'21'!$Y$36</f>
        <v>0</v>
      </c>
      <c r="V28" s="106"/>
      <c r="W28" s="121">
        <f>+Riassunto!K24</f>
        <v>189.7</v>
      </c>
      <c r="X28" s="106">
        <f>+'21'!$AD$36</f>
        <v>0</v>
      </c>
      <c r="Y28" s="106"/>
      <c r="Z28" s="106"/>
      <c r="AC28" s="146">
        <f t="shared" si="3"/>
        <v>0</v>
      </c>
    </row>
    <row r="29" spans="2:29" ht="15" customHeight="1" x14ac:dyDescent="0.3">
      <c r="B29" s="3">
        <v>22</v>
      </c>
      <c r="C29" s="3">
        <f>+Riassunto!C25</f>
        <v>39</v>
      </c>
      <c r="D29" s="27" t="str">
        <f>+Riassunto!D25</f>
        <v>Associazioni S.Filippo</v>
      </c>
      <c r="E29" s="107"/>
      <c r="F29" s="105">
        <f>+'22'!$E$36+'22'!$E$49+'22'!$E$66</f>
        <v>2990</v>
      </c>
      <c r="G29" s="106">
        <f t="shared" si="5"/>
        <v>0</v>
      </c>
      <c r="H29" s="138"/>
      <c r="I29" s="139"/>
      <c r="J29" s="106"/>
      <c r="K29" s="106">
        <f>+IF(H29&lt;50,2*H29*I29*J29,5*H29*I29*J29)</f>
        <v>0</v>
      </c>
      <c r="L29" s="107" t="s">
        <v>382</v>
      </c>
      <c r="M29" s="121">
        <f>+'22'!$M$8</f>
        <v>530</v>
      </c>
      <c r="N29" s="106">
        <f>+'22'!$O$36</f>
        <v>22200</v>
      </c>
      <c r="O29" s="106">
        <f t="shared" si="2"/>
        <v>11100</v>
      </c>
      <c r="P29" s="107"/>
      <c r="Q29" s="121">
        <f>+'22'!$R$9</f>
        <v>0</v>
      </c>
      <c r="R29" s="106">
        <f>+'22'!$T$36</f>
        <v>0</v>
      </c>
      <c r="S29" s="106"/>
      <c r="T29" s="121">
        <f>+'22'!$W$9</f>
        <v>0</v>
      </c>
      <c r="U29" s="106">
        <f>+'22'!$Y$36</f>
        <v>0</v>
      </c>
      <c r="V29" s="106"/>
      <c r="W29" s="121">
        <f>+Riassunto!K25</f>
        <v>926.64</v>
      </c>
      <c r="X29" s="106">
        <f>+'22'!$AD$36</f>
        <v>0</v>
      </c>
      <c r="Y29" s="106"/>
      <c r="Z29" s="106"/>
      <c r="AC29" s="146">
        <f t="shared" si="3"/>
        <v>11100</v>
      </c>
    </row>
    <row r="30" spans="2:29" x14ac:dyDescent="0.3">
      <c r="B30" s="3">
        <v>23</v>
      </c>
      <c r="C30" s="3">
        <f>+Riassunto!C26</f>
        <v>46</v>
      </c>
      <c r="D30" s="27" t="str">
        <f>+Riassunto!D26</f>
        <v>Magazzino Comunale</v>
      </c>
      <c r="E30" s="107"/>
      <c r="F30" s="105">
        <f>+'23'!$E$36+'23'!$E$49+'23'!$E$66</f>
        <v>780</v>
      </c>
      <c r="G30" s="106">
        <f t="shared" si="5"/>
        <v>0</v>
      </c>
      <c r="H30" s="138"/>
      <c r="I30" s="139"/>
      <c r="J30" s="106"/>
      <c r="K30" s="106">
        <f t="shared" si="4"/>
        <v>0</v>
      </c>
      <c r="L30" s="107"/>
      <c r="M30" s="121">
        <f>+'23'!$M$8</f>
        <v>0</v>
      </c>
      <c r="N30" s="106">
        <f>+'23'!$O$36</f>
        <v>0</v>
      </c>
      <c r="O30" s="106">
        <f t="shared" si="2"/>
        <v>0</v>
      </c>
      <c r="P30" s="107"/>
      <c r="Q30" s="121">
        <f>+'23'!$R$9</f>
        <v>0</v>
      </c>
      <c r="R30" s="106">
        <f>+'23'!$T$36</f>
        <v>0</v>
      </c>
      <c r="S30" s="106"/>
      <c r="T30" s="121">
        <f>+'23'!$W$9</f>
        <v>0</v>
      </c>
      <c r="U30" s="106">
        <f>+'23'!$Y$36</f>
        <v>0</v>
      </c>
      <c r="V30" s="106"/>
      <c r="W30" s="121">
        <f>+Riassunto!K26</f>
        <v>218</v>
      </c>
      <c r="X30" s="106">
        <f>+'23'!$AD$36</f>
        <v>0</v>
      </c>
      <c r="Y30" s="106"/>
      <c r="Z30" s="106"/>
      <c r="AC30" s="146">
        <f t="shared" si="3"/>
        <v>0</v>
      </c>
    </row>
    <row r="31" spans="2:29" ht="15" customHeight="1" x14ac:dyDescent="0.3">
      <c r="B31" s="3">
        <v>24</v>
      </c>
      <c r="C31" s="3">
        <f>+Riassunto!C27</f>
        <v>48</v>
      </c>
      <c r="D31" s="27" t="str">
        <f>+Riassunto!D27</f>
        <v>Palasport Schiavonia</v>
      </c>
      <c r="E31" s="107"/>
      <c r="F31" s="105">
        <f>+'24'!$E$36+'24'!$E$49+'24'!$E$66</f>
        <v>0</v>
      </c>
      <c r="G31" s="106">
        <f t="shared" si="5"/>
        <v>0</v>
      </c>
      <c r="H31" s="138"/>
      <c r="I31" s="139">
        <f>+$I$2/$I$3</f>
        <v>647.57033248081837</v>
      </c>
      <c r="J31" s="106">
        <v>0.35</v>
      </c>
      <c r="K31" s="106">
        <f t="shared" si="4"/>
        <v>0</v>
      </c>
      <c r="L31" s="107"/>
      <c r="M31" s="121">
        <f>+'24'!$M$8</f>
        <v>0</v>
      </c>
      <c r="N31" s="106">
        <f>+'24'!$O$36</f>
        <v>0</v>
      </c>
      <c r="O31" s="106">
        <f t="shared" si="2"/>
        <v>0</v>
      </c>
      <c r="P31" s="107"/>
      <c r="Q31" s="121">
        <f>+'24'!$R$9</f>
        <v>0</v>
      </c>
      <c r="R31" s="106">
        <f>+'24'!$T$36</f>
        <v>0</v>
      </c>
      <c r="S31" s="106"/>
      <c r="T31" s="121">
        <f>+'24'!$W$9</f>
        <v>0</v>
      </c>
      <c r="U31" s="106">
        <f>+'24'!$Y$36</f>
        <v>0</v>
      </c>
      <c r="V31" s="106"/>
      <c r="W31" s="121">
        <f>+Riassunto!K27</f>
        <v>1982.9</v>
      </c>
      <c r="X31" s="106">
        <f>+'24'!$AD$36</f>
        <v>0</v>
      </c>
      <c r="Y31" s="106"/>
      <c r="Z31" s="106"/>
      <c r="AC31" s="146">
        <f t="shared" si="3"/>
        <v>0</v>
      </c>
    </row>
    <row r="32" spans="2:29" ht="15" customHeight="1" x14ac:dyDescent="0.3">
      <c r="B32" s="3">
        <v>25</v>
      </c>
      <c r="C32" s="3">
        <f>+Riassunto!C28</f>
        <v>49</v>
      </c>
      <c r="D32" s="27" t="str">
        <f>+Riassunto!D28</f>
        <v>Casa Associazioni</v>
      </c>
      <c r="E32" s="107"/>
      <c r="F32" s="105">
        <f>+'25'!$E$36+'25'!$E$49+'25'!$E$66</f>
        <v>1320</v>
      </c>
      <c r="G32" s="106">
        <f t="shared" si="5"/>
        <v>0</v>
      </c>
      <c r="H32" s="138"/>
      <c r="I32" s="139"/>
      <c r="J32" s="106"/>
      <c r="K32" s="106">
        <f t="shared" si="4"/>
        <v>0</v>
      </c>
      <c r="L32" s="107" t="s">
        <v>382</v>
      </c>
      <c r="M32" s="121">
        <f>+'25'!$M$8</f>
        <v>138</v>
      </c>
      <c r="N32" s="106">
        <f>+'25'!$O$36</f>
        <v>6520</v>
      </c>
      <c r="O32" s="106">
        <f t="shared" si="2"/>
        <v>3260</v>
      </c>
      <c r="P32" s="107"/>
      <c r="Q32" s="121">
        <f>+'25'!$R$9</f>
        <v>0</v>
      </c>
      <c r="R32" s="106">
        <f>+'25'!$T$36</f>
        <v>0</v>
      </c>
      <c r="S32" s="106"/>
      <c r="T32" s="121">
        <f>+'25'!$W$9</f>
        <v>0</v>
      </c>
      <c r="U32" s="106">
        <f>+'25'!$Y$36</f>
        <v>0</v>
      </c>
      <c r="V32" s="106"/>
      <c r="W32" s="121">
        <f>+Riassunto!K28</f>
        <v>242.7</v>
      </c>
      <c r="X32" s="106">
        <f>+'25'!$AD$36</f>
        <v>0</v>
      </c>
      <c r="Y32" s="106"/>
      <c r="Z32" s="106"/>
      <c r="AC32" s="146">
        <f t="shared" si="3"/>
        <v>3260</v>
      </c>
    </row>
    <row r="33" spans="2:29" x14ac:dyDescent="0.3">
      <c r="B33" s="3">
        <v>26</v>
      </c>
      <c r="C33" s="3">
        <f>+Riassunto!C29</f>
        <v>50</v>
      </c>
      <c r="D33" s="27" t="str">
        <f>+Riassunto!D29</f>
        <v>Associazioni</v>
      </c>
      <c r="E33" s="107"/>
      <c r="F33" s="105">
        <f>+'26'!$E$36+'26'!$E$49+'26'!$E$66</f>
        <v>0</v>
      </c>
      <c r="G33" s="106">
        <f t="shared" si="5"/>
        <v>0</v>
      </c>
      <c r="H33" s="138"/>
      <c r="I33" s="139"/>
      <c r="J33" s="106"/>
      <c r="K33" s="106">
        <f t="shared" si="4"/>
        <v>0</v>
      </c>
      <c r="L33" s="107"/>
      <c r="M33" s="121">
        <f>+'26'!$M$8</f>
        <v>0</v>
      </c>
      <c r="N33" s="106">
        <f>+'26'!$O$36</f>
        <v>0</v>
      </c>
      <c r="O33" s="106">
        <f t="shared" si="2"/>
        <v>0</v>
      </c>
      <c r="P33" s="107"/>
      <c r="Q33" s="121">
        <f>+'26'!$R$9</f>
        <v>0</v>
      </c>
      <c r="R33" s="106">
        <f>+'26'!$T$36</f>
        <v>0</v>
      </c>
      <c r="S33" s="106"/>
      <c r="T33" s="121">
        <f>+'26'!$W$9</f>
        <v>0</v>
      </c>
      <c r="U33" s="106">
        <f>+'26'!$Y$36</f>
        <v>0</v>
      </c>
      <c r="V33" s="106"/>
      <c r="W33" s="121">
        <f>+Riassunto!K29</f>
        <v>127.4</v>
      </c>
      <c r="X33" s="106">
        <f>+'26'!$AD$36</f>
        <v>0</v>
      </c>
      <c r="Y33" s="106"/>
      <c r="Z33" s="106"/>
      <c r="AC33" s="143">
        <f t="shared" si="3"/>
        <v>0</v>
      </c>
    </row>
    <row r="34" spans="2:29" x14ac:dyDescent="0.3">
      <c r="B34" s="3">
        <v>27</v>
      </c>
      <c r="C34" s="3">
        <f>+Riassunto!C30</f>
        <v>52</v>
      </c>
      <c r="D34" s="27" t="str">
        <f>+Riassunto!D30</f>
        <v>Ex Canonica Di Marendole</v>
      </c>
      <c r="E34" s="107"/>
      <c r="F34" s="105">
        <f>+'27'!$E$36+'27'!$E$49+'27'!$E$66</f>
        <v>0</v>
      </c>
      <c r="G34" s="106">
        <f t="shared" si="5"/>
        <v>0</v>
      </c>
      <c r="H34" s="138"/>
      <c r="I34" s="139"/>
      <c r="J34" s="106"/>
      <c r="K34" s="106">
        <f t="shared" si="4"/>
        <v>0</v>
      </c>
      <c r="L34" s="107"/>
      <c r="M34" s="121">
        <f>+'27'!$M$8</f>
        <v>0</v>
      </c>
      <c r="N34" s="106">
        <f>+'27'!$O$36</f>
        <v>0</v>
      </c>
      <c r="O34" s="106">
        <f t="shared" si="2"/>
        <v>0</v>
      </c>
      <c r="P34" s="107"/>
      <c r="Q34" s="121">
        <f>+'27'!$R$9</f>
        <v>0</v>
      </c>
      <c r="R34" s="106">
        <f>+'27'!$T$36</f>
        <v>0</v>
      </c>
      <c r="S34" s="106"/>
      <c r="T34" s="121">
        <f>+'27'!$W$9</f>
        <v>0</v>
      </c>
      <c r="U34" s="106">
        <f>+'27'!$Y$36</f>
        <v>0</v>
      </c>
      <c r="V34" s="106"/>
      <c r="W34" s="121">
        <f>+Riassunto!K30</f>
        <v>171.5</v>
      </c>
      <c r="X34" s="106">
        <f>+'27'!$AD$36</f>
        <v>0</v>
      </c>
      <c r="Y34" s="106"/>
      <c r="Z34" s="106"/>
      <c r="AC34" s="143">
        <f t="shared" si="3"/>
        <v>0</v>
      </c>
    </row>
    <row r="35" spans="2:29" x14ac:dyDescent="0.3">
      <c r="B35" s="3"/>
      <c r="C35" s="3">
        <f>+Riassunto!C31</f>
        <v>0</v>
      </c>
      <c r="D35" s="27">
        <f>+Riassunto!D31</f>
        <v>0</v>
      </c>
      <c r="E35" s="107"/>
      <c r="F35" s="105">
        <f>+'28'!$E$36+'28'!$E$49+'28'!$E$66</f>
        <v>0</v>
      </c>
      <c r="G35" s="106">
        <f t="shared" si="5"/>
        <v>0</v>
      </c>
      <c r="H35" s="138"/>
      <c r="I35" s="139"/>
      <c r="J35" s="106"/>
      <c r="K35" s="106">
        <f t="shared" si="4"/>
        <v>0</v>
      </c>
      <c r="L35" s="107"/>
      <c r="M35" s="121">
        <f>+'28'!$M$8</f>
        <v>0</v>
      </c>
      <c r="N35" s="106">
        <f>+'28'!$O$36</f>
        <v>0</v>
      </c>
      <c r="O35" s="106">
        <f t="shared" si="2"/>
        <v>0</v>
      </c>
      <c r="P35" s="107"/>
      <c r="Q35" s="121">
        <f>+'28'!$R$9</f>
        <v>0</v>
      </c>
      <c r="R35" s="106">
        <f>+'28'!$T$36</f>
        <v>0</v>
      </c>
      <c r="S35" s="106"/>
      <c r="T35" s="121">
        <f>+'28'!$W$9</f>
        <v>0</v>
      </c>
      <c r="U35" s="106">
        <f>+'28'!$Y$36</f>
        <v>0</v>
      </c>
      <c r="V35" s="106"/>
      <c r="W35" s="121">
        <f>+Riassunto!K31</f>
        <v>0</v>
      </c>
      <c r="X35" s="106">
        <f>+'28'!$AD$36</f>
        <v>0</v>
      </c>
      <c r="Y35" s="106"/>
      <c r="Z35" s="106"/>
      <c r="AC35" s="143">
        <f t="shared" si="3"/>
        <v>0</v>
      </c>
    </row>
    <row r="36" spans="2:29" x14ac:dyDescent="0.3">
      <c r="B36" s="3"/>
      <c r="C36" s="3">
        <f>+Riassunto!C32</f>
        <v>0</v>
      </c>
      <c r="D36" s="27">
        <f>+Riassunto!D32</f>
        <v>0</v>
      </c>
      <c r="E36" s="107"/>
      <c r="F36" s="105">
        <f>+'29'!$E$36+'29'!$E$49+'29'!$E$66</f>
        <v>0</v>
      </c>
      <c r="G36" s="106">
        <f t="shared" si="5"/>
        <v>0</v>
      </c>
      <c r="H36" s="138"/>
      <c r="I36" s="139"/>
      <c r="J36" s="106"/>
      <c r="K36" s="106">
        <f t="shared" si="4"/>
        <v>0</v>
      </c>
      <c r="L36" s="107"/>
      <c r="M36" s="121">
        <f>+'29'!$M$8</f>
        <v>0</v>
      </c>
      <c r="N36" s="106">
        <f>+'29'!$O$36</f>
        <v>0</v>
      </c>
      <c r="O36" s="106">
        <f t="shared" si="2"/>
        <v>0</v>
      </c>
      <c r="P36" s="107"/>
      <c r="Q36" s="121">
        <f>+'29'!$R$9</f>
        <v>0</v>
      </c>
      <c r="R36" s="106">
        <f>+'29'!$T$36</f>
        <v>0</v>
      </c>
      <c r="S36" s="106"/>
      <c r="T36" s="121">
        <f>+'29'!$W$9</f>
        <v>0</v>
      </c>
      <c r="U36" s="106">
        <f>+'29'!$Y$36</f>
        <v>0</v>
      </c>
      <c r="V36" s="106"/>
      <c r="W36" s="121">
        <f>+Riassunto!K32</f>
        <v>0</v>
      </c>
      <c r="X36" s="106">
        <f>+'29'!$AD$36</f>
        <v>0</v>
      </c>
      <c r="Y36" s="106"/>
      <c r="Z36" s="106"/>
      <c r="AC36" s="143">
        <f t="shared" si="3"/>
        <v>0</v>
      </c>
    </row>
    <row r="37" spans="2:29" ht="15" thickBot="1" x14ac:dyDescent="0.35">
      <c r="B37" s="3"/>
      <c r="C37" s="3">
        <f>+Riassunto!C33</f>
        <v>0</v>
      </c>
      <c r="D37" s="27">
        <f>+Riassunto!D33</f>
        <v>0</v>
      </c>
      <c r="E37" s="107"/>
      <c r="F37" s="105">
        <f>+'30'!$E$36+'30'!$E$49+'30'!$E$66</f>
        <v>0</v>
      </c>
      <c r="G37" s="106">
        <f t="shared" si="5"/>
        <v>0</v>
      </c>
      <c r="H37" s="138"/>
      <c r="I37" s="139"/>
      <c r="J37" s="106"/>
      <c r="K37" s="106">
        <f t="shared" si="4"/>
        <v>0</v>
      </c>
      <c r="L37" s="107"/>
      <c r="M37" s="121">
        <f>+'30'!$M$8</f>
        <v>0</v>
      </c>
      <c r="N37" s="106">
        <f>+'30'!$O$36</f>
        <v>0</v>
      </c>
      <c r="O37" s="106">
        <f t="shared" si="2"/>
        <v>0</v>
      </c>
      <c r="P37" s="107"/>
      <c r="Q37" s="121">
        <f>+'30'!$R$9</f>
        <v>0</v>
      </c>
      <c r="R37" s="106">
        <f>+'30'!$T$36</f>
        <v>0</v>
      </c>
      <c r="S37" s="106"/>
      <c r="T37" s="121">
        <f>+'30'!$W$9</f>
        <v>0</v>
      </c>
      <c r="U37" s="106">
        <f>+'30'!$Y$36</f>
        <v>0</v>
      </c>
      <c r="V37" s="106"/>
      <c r="W37" s="121">
        <f>+Riassunto!K33</f>
        <v>0</v>
      </c>
      <c r="X37" s="106">
        <f>+'30'!$AD$36</f>
        <v>0</v>
      </c>
      <c r="Y37" s="106"/>
      <c r="Z37" s="106"/>
      <c r="AC37" s="144">
        <f t="shared" si="3"/>
        <v>0</v>
      </c>
    </row>
    <row r="38" spans="2:29" ht="15" thickBot="1" x14ac:dyDescent="0.35">
      <c r="B38" s="45"/>
      <c r="C38" s="45"/>
      <c r="D38" s="45"/>
      <c r="E38" s="45"/>
      <c r="F38" s="45"/>
      <c r="G38" s="45"/>
      <c r="H38" s="45"/>
      <c r="I38" s="45"/>
      <c r="J38" s="45"/>
      <c r="K38" s="45"/>
      <c r="Z38" s="153"/>
    </row>
    <row r="39" spans="2:29" ht="15" thickBot="1" x14ac:dyDescent="0.35">
      <c r="C39" s="274" t="s">
        <v>127</v>
      </c>
      <c r="D39" s="275"/>
      <c r="E39" s="275"/>
      <c r="F39" s="275"/>
      <c r="G39" s="122">
        <f>SUM(G8:G37)</f>
        <v>108121.60000000001</v>
      </c>
      <c r="H39" s="26"/>
      <c r="I39" s="26"/>
      <c r="J39" s="26"/>
      <c r="K39" s="140">
        <f>SUM(K8:K37)</f>
        <v>4800.438874680307</v>
      </c>
      <c r="O39" s="124">
        <f>SUM(O8:O37)</f>
        <v>36930</v>
      </c>
      <c r="S39" s="123">
        <f>SUM(S8:S37)</f>
        <v>0</v>
      </c>
      <c r="V39" s="126">
        <f>SUM(V8:V37)</f>
        <v>0</v>
      </c>
      <c r="Y39" s="127">
        <f>SUM(Y8:Y37)</f>
        <v>0</v>
      </c>
      <c r="Z39" s="127">
        <f>SUM(Z8:Z37)</f>
        <v>0</v>
      </c>
      <c r="AC39" s="145">
        <f>SUM(AC8:AC38)</f>
        <v>149852.03887468029</v>
      </c>
    </row>
    <row r="42" spans="2:29" x14ac:dyDescent="0.3">
      <c r="D42" t="s">
        <v>465</v>
      </c>
      <c r="E42" s="157" t="s">
        <v>467</v>
      </c>
      <c r="F42" s="157" t="s">
        <v>468</v>
      </c>
      <c r="G42" s="157" t="s">
        <v>469</v>
      </c>
      <c r="H42" s="157" t="s">
        <v>470</v>
      </c>
      <c r="I42" s="157" t="s">
        <v>471</v>
      </c>
      <c r="J42" s="157" t="s">
        <v>472</v>
      </c>
      <c r="K42" s="157" t="s">
        <v>473</v>
      </c>
      <c r="L42" s="157" t="s">
        <v>474</v>
      </c>
    </row>
    <row r="43" spans="2:29" x14ac:dyDescent="0.3">
      <c r="D43" t="s">
        <v>466</v>
      </c>
      <c r="E43" s="157">
        <v>24.8</v>
      </c>
      <c r="F43" s="157">
        <v>4.0599999999999996</v>
      </c>
      <c r="G43" s="157">
        <v>1700</v>
      </c>
      <c r="H43" s="157">
        <f>+(G43*E43)*(1-(1/F43))</f>
        <v>31775.763546798029</v>
      </c>
      <c r="I43" s="157">
        <v>1.2</v>
      </c>
      <c r="J43" s="157">
        <v>4.4999999999999998E-2</v>
      </c>
      <c r="K43" s="157">
        <v>5</v>
      </c>
      <c r="L43" s="25">
        <f>+K43*J43*I43*H43</f>
        <v>8579.4561576354663</v>
      </c>
    </row>
  </sheetData>
  <mergeCells count="7">
    <mergeCell ref="W1:Y1"/>
    <mergeCell ref="C39:F39"/>
    <mergeCell ref="D1:G1"/>
    <mergeCell ref="P1:S1"/>
    <mergeCell ref="L1:O1"/>
    <mergeCell ref="T1:V1"/>
    <mergeCell ref="H1:K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J81"/>
  <sheetViews>
    <sheetView zoomScaleNormal="100" workbookViewId="0">
      <selection activeCell="D9" sqref="D9"/>
    </sheetView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/>
    <col min="8" max="10" width="12.6640625" hidden="1" customWidth="1"/>
    <col min="11" max="11" width="1.6640625" hidden="1" customWidth="1"/>
    <col min="12" max="12" width="45.6640625" hidden="1" customWidth="1"/>
    <col min="13" max="15" width="12.6640625" hidden="1" customWidth="1"/>
    <col min="16" max="16" width="1.6640625" hidden="1" customWidth="1"/>
    <col min="17" max="17" width="45.6640625" hidden="1" customWidth="1"/>
    <col min="18" max="20" width="12.6640625" hidden="1" customWidth="1"/>
    <col min="21" max="21" width="1.6640625" hidden="1" customWidth="1"/>
    <col min="22" max="22" width="45.6640625" hidden="1" customWidth="1"/>
    <col min="23" max="25" width="12.6640625" hidden="1" customWidth="1"/>
    <col min="26" max="26" width="1.6640625" hidden="1" customWidth="1"/>
    <col min="27" max="27" width="45.6640625" hidden="1" customWidth="1"/>
    <col min="28" max="30" width="12.6640625" hidden="1" customWidth="1"/>
    <col min="31" max="31" width="1.6640625" hidden="1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Riassunto!D9</f>
        <v>Biblioteca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+Riassunto!L9</f>
        <v>2211.8000000000002</v>
      </c>
      <c r="D2" s="306"/>
      <c r="E2" s="306"/>
    </row>
    <row r="3" spans="1:36" x14ac:dyDescent="0.3">
      <c r="A3" s="5"/>
      <c r="B3" s="5" t="s">
        <v>17</v>
      </c>
      <c r="C3" s="307">
        <f>Riassunto!I9</f>
        <v>69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31.196310697169725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0.92</v>
      </c>
      <c r="D8" s="108">
        <v>0.92</v>
      </c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0.85</v>
      </c>
      <c r="D9" s="108">
        <v>0.96</v>
      </c>
      <c r="E9" s="109">
        <f t="shared" ref="E9:E12" si="0">+D9-C9</f>
        <v>0.10999999999999999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0.93100000000000005</v>
      </c>
      <c r="D10" s="108">
        <v>0.93100000000000005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0.94</v>
      </c>
      <c r="D11" s="108">
        <v>0.94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0.68435948000000002</v>
      </c>
      <c r="D12" s="110">
        <f>+D8*D9*D10*D11</f>
        <v>0.77292364800000002</v>
      </c>
      <c r="E12" s="111">
        <f t="shared" si="0"/>
        <v>8.8564167999999999E-2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8.8564167999999999E-2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28.43343539560539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62.889072408000004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/>
      <c r="C22" s="65"/>
      <c r="D22" s="25"/>
      <c r="E22" s="64">
        <f t="shared" ref="E22:E33" si="3"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223</v>
      </c>
      <c r="AG22" s="65">
        <v>1</v>
      </c>
      <c r="AH22" s="25">
        <v>80</v>
      </c>
      <c r="AI22" s="64">
        <f>+AH22*AG22</f>
        <v>80</v>
      </c>
      <c r="AJ22" s="64"/>
    </row>
    <row r="23" spans="1:36" x14ac:dyDescent="0.3">
      <c r="B23" s="76"/>
      <c r="C23" s="65"/>
      <c r="D23" s="25"/>
      <c r="E23" s="64">
        <f t="shared" si="3"/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 t="s">
        <v>224</v>
      </c>
      <c r="AG23" s="65">
        <v>1</v>
      </c>
      <c r="AH23" s="25">
        <v>80</v>
      </c>
      <c r="AI23" s="64">
        <f t="shared" ref="AI23:AI32" si="9">+AH23*AG23</f>
        <v>80</v>
      </c>
      <c r="AJ23" s="64"/>
    </row>
    <row r="24" spans="1:36" x14ac:dyDescent="0.3">
      <c r="B24" s="76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253</v>
      </c>
      <c r="AG24" s="65">
        <v>1</v>
      </c>
      <c r="AH24" s="25">
        <v>100</v>
      </c>
      <c r="AI24" s="64">
        <f t="shared" si="9"/>
        <v>100</v>
      </c>
      <c r="AJ24" s="64"/>
    </row>
    <row r="25" spans="1:36" x14ac:dyDescent="0.3">
      <c r="B25" s="76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/>
      <c r="C33" s="65"/>
      <c r="D33" s="25">
        <v>30</v>
      </c>
      <c r="E33" s="64">
        <f t="shared" si="3"/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>
        <v>0.08</v>
      </c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260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  <c r="AH43" s="65"/>
    </row>
    <row r="44" spans="1:36" x14ac:dyDescent="0.3">
      <c r="B44" s="76"/>
      <c r="C44" s="65"/>
      <c r="D44" s="25"/>
      <c r="E44" s="64">
        <f t="shared" si="10"/>
        <v>0</v>
      </c>
      <c r="AH44" s="65"/>
    </row>
    <row r="45" spans="1:36" x14ac:dyDescent="0.3">
      <c r="B45" s="76"/>
      <c r="C45" s="65"/>
      <c r="D45" s="25"/>
      <c r="E45" s="64">
        <f t="shared" si="10"/>
        <v>0</v>
      </c>
      <c r="AH45" s="65"/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  <c r="AH46" s="65"/>
    </row>
    <row r="47" spans="1:36" x14ac:dyDescent="0.3">
      <c r="B47" s="13" t="s">
        <v>90</v>
      </c>
      <c r="C47" s="65"/>
      <c r="D47" s="67">
        <v>0.05</v>
      </c>
      <c r="E47" s="64">
        <f>SUM(E38:E46)*D47</f>
        <v>0</v>
      </c>
      <c r="AH47" s="65"/>
    </row>
    <row r="48" spans="1:36" x14ac:dyDescent="0.3">
      <c r="B48" s="13" t="s">
        <v>23</v>
      </c>
      <c r="D48" s="25">
        <v>0</v>
      </c>
      <c r="E48" s="64">
        <f>+D48*C48</f>
        <v>0</v>
      </c>
      <c r="AH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H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65"/>
      <c r="AI50" s="10"/>
    </row>
    <row r="51" spans="1:35" x14ac:dyDescent="0.3">
      <c r="B51" s="303" t="s">
        <v>12</v>
      </c>
      <c r="C51" s="303"/>
      <c r="D51" s="303"/>
      <c r="E51" s="303"/>
      <c r="AH51" s="6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H52" s="65"/>
    </row>
    <row r="53" spans="1:35" x14ac:dyDescent="0.3">
      <c r="A53" s="24"/>
      <c r="B53" s="76" t="s">
        <v>220</v>
      </c>
      <c r="C53" s="65">
        <v>1</v>
      </c>
      <c r="D53" s="25">
        <f>VLOOKUP(B53,Coster!$B$5:$D$43,3,FALSE)</f>
        <v>310</v>
      </c>
      <c r="E53" s="64">
        <f t="shared" ref="E53:E63" si="11">+D53*C53</f>
        <v>310</v>
      </c>
    </row>
    <row r="54" spans="1:35" x14ac:dyDescent="0.3">
      <c r="B54" s="76" t="s">
        <v>245</v>
      </c>
      <c r="C54" s="65">
        <v>1</v>
      </c>
      <c r="D54" s="25">
        <f>VLOOKUP(B54,Coster!$B$5:$D$43,3,FALSE)</f>
        <v>780</v>
      </c>
      <c r="E54" s="64">
        <f t="shared" si="11"/>
        <v>780</v>
      </c>
      <c r="AH54" s="65"/>
    </row>
    <row r="55" spans="1:35" x14ac:dyDescent="0.3">
      <c r="B55" s="76" t="s">
        <v>208</v>
      </c>
      <c r="C55" s="65">
        <v>1</v>
      </c>
      <c r="D55" s="25">
        <f>VLOOKUP(B55,Coster!$B$5:$D$43,3,FALSE)</f>
        <v>340</v>
      </c>
      <c r="E55" s="64">
        <f t="shared" si="11"/>
        <v>340</v>
      </c>
      <c r="AH55" s="66"/>
    </row>
    <row r="56" spans="1:35" x14ac:dyDescent="0.3">
      <c r="B56" s="76" t="s">
        <v>202</v>
      </c>
      <c r="C56" s="65">
        <v>1</v>
      </c>
      <c r="D56" s="25">
        <f>VLOOKUP(B56,Coster!$B$5:$D$43,3,FALSE)</f>
        <v>30</v>
      </c>
      <c r="E56" s="64">
        <f t="shared" si="11"/>
        <v>30</v>
      </c>
      <c r="AH56" s="66"/>
    </row>
    <row r="57" spans="1:35" x14ac:dyDescent="0.3">
      <c r="B57" s="76" t="s">
        <v>203</v>
      </c>
      <c r="C57" s="65">
        <v>1</v>
      </c>
      <c r="D57" s="25">
        <f>VLOOKUP(B57,Coster!$B$5:$D$43,3,FALSE)</f>
        <v>30</v>
      </c>
      <c r="E57" s="64">
        <f t="shared" si="11"/>
        <v>30</v>
      </c>
    </row>
    <row r="58" spans="1:35" x14ac:dyDescent="0.3">
      <c r="B58" s="76" t="s">
        <v>204</v>
      </c>
      <c r="C58" s="65">
        <v>3</v>
      </c>
      <c r="D58" s="25">
        <f>VLOOKUP(B58,Coster!$B$5:$D$43,3,FALSE)</f>
        <v>40</v>
      </c>
      <c r="E58" s="64">
        <f t="shared" si="11"/>
        <v>120</v>
      </c>
    </row>
    <row r="59" spans="1:35" x14ac:dyDescent="0.3">
      <c r="B59" s="76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76"/>
      <c r="C61" s="147"/>
      <c r="D61" s="25"/>
      <c r="E61" s="64">
        <f t="shared" si="11"/>
        <v>0</v>
      </c>
    </row>
    <row r="62" spans="1:35" x14ac:dyDescent="0.3">
      <c r="B62" s="12" t="s">
        <v>84</v>
      </c>
      <c r="C62" s="65">
        <v>1</v>
      </c>
      <c r="D62" s="25">
        <v>500</v>
      </c>
      <c r="E62" s="64">
        <f t="shared" si="11"/>
        <v>500</v>
      </c>
    </row>
    <row r="63" spans="1:35" x14ac:dyDescent="0.3">
      <c r="B63" s="12" t="s">
        <v>53</v>
      </c>
      <c r="C63" s="136">
        <f>4*2*8</f>
        <v>64</v>
      </c>
      <c r="D63" s="25">
        <v>30</v>
      </c>
      <c r="E63" s="64">
        <f t="shared" si="11"/>
        <v>1920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4030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AJ81"/>
  <sheetViews>
    <sheetView zoomScaleNormal="100" workbookViewId="0">
      <selection activeCell="D10" sqref="D10"/>
    </sheetView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/>
    <col min="8" max="10" width="12.6640625" hidden="1" customWidth="1"/>
    <col min="11" max="11" width="1.6640625" hidden="1" customWidth="1"/>
    <col min="12" max="12" width="45.6640625" hidden="1" customWidth="1"/>
    <col min="13" max="15" width="12.6640625" hidden="1" customWidth="1"/>
    <col min="16" max="16" width="1.6640625" hidden="1" customWidth="1"/>
    <col min="17" max="17" width="45.6640625" hidden="1" customWidth="1"/>
    <col min="18" max="20" width="12.6640625" hidden="1" customWidth="1"/>
    <col min="21" max="21" width="1.6640625" hidden="1" customWidth="1"/>
    <col min="22" max="22" width="45.6640625" hidden="1" customWidth="1"/>
    <col min="23" max="25" width="12.6640625" hidden="1" customWidth="1"/>
    <col min="26" max="26" width="1.6640625" hidden="1" customWidth="1"/>
    <col min="27" max="27" width="45.6640625" hidden="1" customWidth="1"/>
    <col min="28" max="30" width="12.6640625" hidden="1" customWidth="1"/>
    <col min="31" max="31" width="1.6640625" hidden="1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Riassunto!D10</f>
        <v>Palestra G.Cini/Tortorini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+Riassunto!L10</f>
        <v>2883.8</v>
      </c>
      <c r="D2" s="306"/>
      <c r="E2" s="306"/>
    </row>
    <row r="3" spans="1:36" x14ac:dyDescent="0.3">
      <c r="A3" s="5"/>
      <c r="B3" s="5" t="s">
        <v>17</v>
      </c>
      <c r="C3" s="307">
        <f>Riassunto!I10</f>
        <v>109.7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38.040085997641995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0.86</v>
      </c>
      <c r="D8" s="108">
        <v>0.86</v>
      </c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0.93</v>
      </c>
      <c r="D9" s="108">
        <v>0.96</v>
      </c>
      <c r="E9" s="109">
        <f t="shared" ref="E9:E12" si="0">+D9-C9</f>
        <v>2.9999999999999916E-2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0.96399999999999997</v>
      </c>
      <c r="D10" s="108">
        <v>0.96399999999999997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0.95</v>
      </c>
      <c r="D11" s="108">
        <v>0.95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0.73245684</v>
      </c>
      <c r="D12" s="110">
        <f>+D8*D9*D10*D11</f>
        <v>0.75608447999999995</v>
      </c>
      <c r="E12" s="111">
        <f t="shared" si="0"/>
        <v>2.362763999999995E-2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2.362763999999995E-2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37.141288540120669</v>
      </c>
      <c r="D17" s="70">
        <v>30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107.10804789199999</v>
      </c>
      <c r="D18" s="72">
        <f>+(D17*$C$2/1000)+$C$4</f>
        <v>86.513999999999996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87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 t="s">
        <v>247</v>
      </c>
      <c r="C22" s="65"/>
      <c r="D22" s="25">
        <f>+Riello!D5</f>
        <v>5400</v>
      </c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223</v>
      </c>
      <c r="AG22" s="65">
        <v>1</v>
      </c>
      <c r="AH22" s="25">
        <v>80</v>
      </c>
      <c r="AI22" s="64">
        <f>+AH22*AG22</f>
        <v>80</v>
      </c>
      <c r="AJ22" s="64"/>
    </row>
    <row r="23" spans="1:36" x14ac:dyDescent="0.3">
      <c r="B23" s="76" t="s">
        <v>248</v>
      </c>
      <c r="C23" s="65"/>
      <c r="D23" s="25">
        <v>750</v>
      </c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 t="s">
        <v>254</v>
      </c>
      <c r="AG23" s="65">
        <v>1</v>
      </c>
      <c r="AH23" s="25">
        <v>10</v>
      </c>
      <c r="AI23" s="64">
        <f t="shared" ref="AI23:AI32" si="9">+AH23*AG23</f>
        <v>10</v>
      </c>
      <c r="AJ23" s="64"/>
    </row>
    <row r="24" spans="1:36" x14ac:dyDescent="0.3">
      <c r="B24" s="76" t="s">
        <v>249</v>
      </c>
      <c r="C24" s="65"/>
      <c r="D24" s="25">
        <v>1000</v>
      </c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253</v>
      </c>
      <c r="AG24" s="65">
        <v>1</v>
      </c>
      <c r="AH24" s="25">
        <v>100</v>
      </c>
      <c r="AI24" s="64">
        <f t="shared" si="9"/>
        <v>100</v>
      </c>
      <c r="AJ24" s="64"/>
    </row>
    <row r="25" spans="1:36" x14ac:dyDescent="0.3">
      <c r="B25" s="76" t="s">
        <v>250</v>
      </c>
      <c r="C25" s="65"/>
      <c r="D25" s="25">
        <v>1000</v>
      </c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 t="s">
        <v>255</v>
      </c>
      <c r="AG25" s="65">
        <v>4</v>
      </c>
      <c r="AH25" s="25">
        <v>10</v>
      </c>
      <c r="AI25" s="64">
        <f t="shared" si="9"/>
        <v>40</v>
      </c>
      <c r="AJ25" s="64"/>
    </row>
    <row r="26" spans="1:36" x14ac:dyDescent="0.3">
      <c r="B26" s="12" t="s">
        <v>171</v>
      </c>
      <c r="C26" s="65"/>
      <c r="D26" s="25">
        <v>500</v>
      </c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 t="s">
        <v>256</v>
      </c>
      <c r="AG26" s="65">
        <v>1</v>
      </c>
      <c r="AH26" s="25">
        <v>20</v>
      </c>
      <c r="AI26" s="64">
        <f t="shared" si="9"/>
        <v>20</v>
      </c>
      <c r="AJ26" s="64"/>
    </row>
    <row r="27" spans="1:36" x14ac:dyDescent="0.3">
      <c r="B27" s="76" t="s">
        <v>197</v>
      </c>
      <c r="C27" s="65"/>
      <c r="D27" s="25">
        <v>800</v>
      </c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 t="s">
        <v>455</v>
      </c>
      <c r="C28" s="65"/>
      <c r="D28" s="25">
        <f>'Contatori di energia'!E10</f>
        <v>1300</v>
      </c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/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 t="s">
        <v>90</v>
      </c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/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/>
      <c r="AG35" s="66"/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250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  <c r="AF43" s="65"/>
    </row>
    <row r="44" spans="1:36" x14ac:dyDescent="0.3">
      <c r="B44" s="76"/>
      <c r="C44" s="65"/>
      <c r="D44" s="25"/>
      <c r="E44" s="64">
        <f t="shared" si="10"/>
        <v>0</v>
      </c>
      <c r="AF44" s="65"/>
    </row>
    <row r="45" spans="1:36" x14ac:dyDescent="0.3">
      <c r="B45" s="76"/>
      <c r="C45" s="65"/>
      <c r="D45" s="25"/>
      <c r="E45" s="64">
        <f t="shared" si="10"/>
        <v>0</v>
      </c>
      <c r="AF45" s="65"/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  <c r="AF46" s="65"/>
    </row>
    <row r="47" spans="1:36" x14ac:dyDescent="0.3">
      <c r="B47" s="13" t="s">
        <v>90</v>
      </c>
      <c r="C47" s="65"/>
      <c r="D47" s="67">
        <v>0.05</v>
      </c>
      <c r="E47" s="64">
        <f>SUM(E38:E46)*D47</f>
        <v>0</v>
      </c>
      <c r="AF47" s="65"/>
    </row>
    <row r="48" spans="1:36" x14ac:dyDescent="0.3">
      <c r="B48" s="13" t="s">
        <v>23</v>
      </c>
      <c r="D48" s="25">
        <v>0</v>
      </c>
      <c r="E48" s="64">
        <f>+D48*C48</f>
        <v>0</v>
      </c>
      <c r="AF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F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F50" s="65"/>
      <c r="AH50" s="8"/>
      <c r="AI50" s="10"/>
    </row>
    <row r="51" spans="1:35" x14ac:dyDescent="0.3">
      <c r="B51" s="303" t="s">
        <v>12</v>
      </c>
      <c r="C51" s="303"/>
      <c r="D51" s="303"/>
      <c r="E51" s="303"/>
      <c r="AF51" s="6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F52" s="65"/>
    </row>
    <row r="53" spans="1:35" x14ac:dyDescent="0.3">
      <c r="A53" s="24"/>
      <c r="B53" s="76" t="s">
        <v>220</v>
      </c>
      <c r="C53" s="65"/>
      <c r="D53" s="25">
        <f>VLOOKUP(B53,Coster!$B$5:$D$43,3,FALSE)</f>
        <v>310</v>
      </c>
      <c r="E53" s="64">
        <f t="shared" ref="E53:E63" si="11">+D53*C53</f>
        <v>0</v>
      </c>
      <c r="G53" t="s">
        <v>252</v>
      </c>
    </row>
    <row r="54" spans="1:35" x14ac:dyDescent="0.3">
      <c r="B54" s="76" t="s">
        <v>212</v>
      </c>
      <c r="C54" s="65">
        <v>1</v>
      </c>
      <c r="D54" s="25">
        <f>VLOOKUP(B54,Coster!$B$5:$D$43,3,FALSE)</f>
        <v>550</v>
      </c>
      <c r="E54" s="64">
        <f t="shared" si="11"/>
        <v>550</v>
      </c>
      <c r="AF54" s="65"/>
    </row>
    <row r="55" spans="1:35" x14ac:dyDescent="0.3">
      <c r="B55" s="76" t="s">
        <v>207</v>
      </c>
      <c r="C55" s="65"/>
      <c r="D55" s="25">
        <f>VLOOKUP(B55,Coster!$B$5:$D$43,3,FALSE)</f>
        <v>550</v>
      </c>
      <c r="E55" s="64">
        <f t="shared" si="11"/>
        <v>0</v>
      </c>
      <c r="AF55" s="66"/>
    </row>
    <row r="56" spans="1:35" x14ac:dyDescent="0.3">
      <c r="B56" s="76" t="s">
        <v>206</v>
      </c>
      <c r="C56" s="65"/>
      <c r="D56" s="25">
        <f>VLOOKUP(B56,Coster!$B$5:$D$43,3,FALSE)</f>
        <v>390</v>
      </c>
      <c r="E56" s="64">
        <f t="shared" si="11"/>
        <v>0</v>
      </c>
      <c r="AF56" s="66"/>
    </row>
    <row r="57" spans="1:35" x14ac:dyDescent="0.3">
      <c r="B57" s="76" t="s">
        <v>251</v>
      </c>
      <c r="C57" s="65">
        <v>1</v>
      </c>
      <c r="D57" s="25">
        <f>VLOOKUP(B57,Coster!$B$5:$D$43,3,FALSE)</f>
        <v>380</v>
      </c>
      <c r="E57" s="64">
        <f t="shared" si="11"/>
        <v>380</v>
      </c>
    </row>
    <row r="58" spans="1:35" x14ac:dyDescent="0.3">
      <c r="B58" s="76" t="s">
        <v>203</v>
      </c>
      <c r="C58" s="65">
        <v>3</v>
      </c>
      <c r="D58" s="25">
        <f>VLOOKUP(B58,Coster!$B$5:$D$43,3,FALSE)</f>
        <v>30</v>
      </c>
      <c r="E58" s="64">
        <f t="shared" si="11"/>
        <v>90</v>
      </c>
    </row>
    <row r="59" spans="1:35" x14ac:dyDescent="0.3">
      <c r="B59" s="76" t="s">
        <v>204</v>
      </c>
      <c r="C59" s="65">
        <v>4</v>
      </c>
      <c r="D59" s="25">
        <f>VLOOKUP(B59,Coster!$B$5:$D$43,3,FALSE)</f>
        <v>40</v>
      </c>
      <c r="E59" s="64">
        <f t="shared" si="11"/>
        <v>160</v>
      </c>
    </row>
    <row r="60" spans="1:35" x14ac:dyDescent="0.3">
      <c r="B60" s="12" t="s">
        <v>202</v>
      </c>
      <c r="C60" s="65">
        <v>1</v>
      </c>
      <c r="D60" s="25">
        <v>100</v>
      </c>
      <c r="E60" s="64">
        <f t="shared" si="11"/>
        <v>100</v>
      </c>
    </row>
    <row r="61" spans="1:35" x14ac:dyDescent="0.3">
      <c r="B61" s="76"/>
      <c r="D61" s="25"/>
      <c r="E61" s="64">
        <f t="shared" si="11"/>
        <v>0</v>
      </c>
    </row>
    <row r="62" spans="1:35" x14ac:dyDescent="0.3">
      <c r="B62" s="12" t="s">
        <v>84</v>
      </c>
      <c r="C62" s="65">
        <v>1</v>
      </c>
      <c r="D62" s="25">
        <v>500</v>
      </c>
      <c r="E62" s="64">
        <f t="shared" si="11"/>
        <v>500</v>
      </c>
    </row>
    <row r="63" spans="1:35" x14ac:dyDescent="0.3">
      <c r="B63" s="12" t="s">
        <v>53</v>
      </c>
      <c r="C63" s="157">
        <v>48</v>
      </c>
      <c r="D63" s="25">
        <v>30</v>
      </c>
      <c r="E63" s="64">
        <f t="shared" si="11"/>
        <v>1440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3220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J82"/>
  <sheetViews>
    <sheetView zoomScaleNormal="100" workbookViewId="0">
      <selection activeCell="C13" sqref="C13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customWidth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Riassunto!D11</f>
        <v>Scuola Materna Tortorini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+Riassunto!L11</f>
        <v>5403</v>
      </c>
      <c r="D2" s="306"/>
      <c r="E2" s="306"/>
    </row>
    <row r="3" spans="1:36" x14ac:dyDescent="0.3">
      <c r="A3" s="5"/>
      <c r="B3" s="5" t="s">
        <v>17</v>
      </c>
      <c r="C3" s="307">
        <f>Riassunto!I11</f>
        <v>170.3</v>
      </c>
      <c r="D3" s="307"/>
      <c r="E3" t="s">
        <v>18</v>
      </c>
    </row>
    <row r="4" spans="1:36" x14ac:dyDescent="0.3">
      <c r="A4" s="5"/>
      <c r="B4" s="5" t="s">
        <v>86</v>
      </c>
      <c r="C4" s="308">
        <v>30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25.967055339626132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0.84</v>
      </c>
      <c r="D8" s="108">
        <v>1</v>
      </c>
      <c r="E8" s="109">
        <f>+D8-C8</f>
        <v>0.16000000000000003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0.93</v>
      </c>
      <c r="D9" s="108">
        <v>0.96</v>
      </c>
      <c r="E9" s="109">
        <f t="shared" ref="E9:E12" si="0">+D9-C9</f>
        <v>2.9999999999999916E-2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0.93500000000000005</v>
      </c>
      <c r="D10" s="108">
        <v>0.93500000000000005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0.92</v>
      </c>
      <c r="D11" s="108">
        <v>0.92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0.67198824000000001</v>
      </c>
      <c r="D12" s="110">
        <f>+D8*D9*D10*D11</f>
        <v>0.82579200000000008</v>
      </c>
      <c r="E12" s="111">
        <f t="shared" si="0"/>
        <v>0.15380376000000007</v>
      </c>
      <c r="F12" s="16"/>
      <c r="G12" s="13" t="s">
        <v>48</v>
      </c>
      <c r="H12" s="77">
        <v>0</v>
      </c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>
        <v>0.5</v>
      </c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0.15380376000000007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21.973224592263556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148.721332472</v>
      </c>
      <c r="D18" s="72">
        <f>+(D17*$C$2/1000)+$C$4</f>
        <v>165.07499999999999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 t="s">
        <v>171</v>
      </c>
      <c r="C22" s="65">
        <v>1</v>
      </c>
      <c r="D22" s="25">
        <v>600</v>
      </c>
      <c r="E22" s="64">
        <f>+D22*C22</f>
        <v>600</v>
      </c>
      <c r="F22" s="64"/>
      <c r="G22" s="76" t="s">
        <v>280</v>
      </c>
      <c r="H22" s="65"/>
      <c r="I22" s="25">
        <f>+Riello!H31</f>
        <v>3400</v>
      </c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223</v>
      </c>
      <c r="AG22" s="65">
        <v>1</v>
      </c>
      <c r="AH22" s="25">
        <v>80</v>
      </c>
      <c r="AI22" s="64">
        <f>+AH22*AG22</f>
        <v>80</v>
      </c>
      <c r="AJ22" s="64"/>
    </row>
    <row r="23" spans="1:36" x14ac:dyDescent="0.3">
      <c r="B23" s="76" t="s">
        <v>197</v>
      </c>
      <c r="C23" s="65">
        <v>1</v>
      </c>
      <c r="D23" s="25">
        <v>1000</v>
      </c>
      <c r="E23" s="64">
        <f t="shared" ref="E23:E32" si="3">+D23*C23</f>
        <v>1000</v>
      </c>
      <c r="F23" s="64"/>
      <c r="G23" s="76" t="s">
        <v>281</v>
      </c>
      <c r="H23" s="65"/>
      <c r="I23" s="25">
        <v>500</v>
      </c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 t="s">
        <v>254</v>
      </c>
      <c r="AG23" s="65">
        <v>1</v>
      </c>
      <c r="AH23" s="25">
        <v>10</v>
      </c>
      <c r="AI23" s="64">
        <f t="shared" ref="AI23:AI32" si="9">+AH23*AG23</f>
        <v>10</v>
      </c>
      <c r="AJ23" s="64"/>
    </row>
    <row r="24" spans="1:36" x14ac:dyDescent="0.3">
      <c r="B24" s="76" t="s">
        <v>266</v>
      </c>
      <c r="C24" s="65">
        <v>1</v>
      </c>
      <c r="D24" s="25">
        <f>+Riello!H5</f>
        <v>11900</v>
      </c>
      <c r="E24" s="64">
        <f t="shared" si="3"/>
        <v>11900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253</v>
      </c>
      <c r="AG24" s="65">
        <v>1</v>
      </c>
      <c r="AH24" s="25">
        <v>100</v>
      </c>
      <c r="AI24" s="64">
        <f t="shared" si="9"/>
        <v>100</v>
      </c>
      <c r="AJ24" s="64"/>
    </row>
    <row r="25" spans="1:36" x14ac:dyDescent="0.3">
      <c r="B25" s="76" t="s">
        <v>267</v>
      </c>
      <c r="C25" s="65">
        <v>1</v>
      </c>
      <c r="D25" s="25">
        <v>1200</v>
      </c>
      <c r="E25" s="64">
        <f t="shared" si="3"/>
        <v>1200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 t="s">
        <v>224</v>
      </c>
      <c r="AG25" s="65">
        <v>1</v>
      </c>
      <c r="AH25" s="25">
        <v>80</v>
      </c>
      <c r="AI25" s="64">
        <f t="shared" si="9"/>
        <v>80</v>
      </c>
      <c r="AJ25" s="64"/>
    </row>
    <row r="26" spans="1:36" x14ac:dyDescent="0.3">
      <c r="B26" s="76" t="s">
        <v>268</v>
      </c>
      <c r="C26" s="65">
        <v>1</v>
      </c>
      <c r="D26" s="25">
        <f>+Grundfos!F18</f>
        <v>890</v>
      </c>
      <c r="E26" s="64">
        <f t="shared" si="3"/>
        <v>890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 t="s">
        <v>282</v>
      </c>
      <c r="AG26" s="65">
        <v>1</v>
      </c>
      <c r="AH26" s="25">
        <v>150</v>
      </c>
      <c r="AI26" s="64">
        <f t="shared" si="9"/>
        <v>150</v>
      </c>
      <c r="AJ26" s="64"/>
    </row>
    <row r="27" spans="1:36" x14ac:dyDescent="0.3">
      <c r="B27" s="76" t="s">
        <v>216</v>
      </c>
      <c r="C27" s="65">
        <v>1</v>
      </c>
      <c r="D27" s="25">
        <f>VLOOKUP(B27,Coster!$B$5:$D$43,3,FALSE)</f>
        <v>220</v>
      </c>
      <c r="E27" s="64">
        <f t="shared" si="3"/>
        <v>220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 t="s">
        <v>272</v>
      </c>
      <c r="C28" s="65">
        <v>1</v>
      </c>
      <c r="D28" s="25">
        <v>1500</v>
      </c>
      <c r="E28" s="64">
        <f t="shared" si="3"/>
        <v>1500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 t="s">
        <v>270</v>
      </c>
      <c r="C29" s="65">
        <v>1</v>
      </c>
      <c r="D29" s="25">
        <v>1500</v>
      </c>
      <c r="E29" s="64">
        <f t="shared" si="3"/>
        <v>1500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 t="s">
        <v>271</v>
      </c>
      <c r="C30" s="65">
        <v>1</v>
      </c>
      <c r="D30" s="25">
        <v>2500</v>
      </c>
      <c r="E30" s="64">
        <f t="shared" si="3"/>
        <v>2500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 t="s">
        <v>209</v>
      </c>
      <c r="C31" s="65">
        <v>1</v>
      </c>
      <c r="D31" s="25">
        <f>VLOOKUP(B31,Coster!$B$5:$D$43,3,FALSE)</f>
        <v>280</v>
      </c>
      <c r="E31" s="64">
        <f t="shared" si="3"/>
        <v>280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 t="s">
        <v>285</v>
      </c>
      <c r="C32" s="65">
        <v>1</v>
      </c>
      <c r="D32" s="25">
        <v>1500</v>
      </c>
      <c r="E32" s="64">
        <f t="shared" si="3"/>
        <v>1500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s="153" customFormat="1" x14ac:dyDescent="0.3">
      <c r="B33" s="156" t="s">
        <v>454</v>
      </c>
      <c r="C33" s="65">
        <v>1</v>
      </c>
      <c r="D33" s="25">
        <f>'Contatori di energia'!E11</f>
        <v>1500</v>
      </c>
      <c r="E33" s="64">
        <f t="shared" ref="E33" si="10">+D33*C33</f>
        <v>1500</v>
      </c>
      <c r="G33" s="156"/>
      <c r="J33" s="64">
        <f t="shared" ref="J33" si="11">+I33*H33</f>
        <v>0</v>
      </c>
      <c r="L33" s="156"/>
      <c r="N33" s="25"/>
      <c r="O33" s="64"/>
      <c r="Q33" s="156"/>
      <c r="S33" s="25"/>
      <c r="T33" s="64"/>
      <c r="V33" s="156"/>
      <c r="X33" s="25"/>
      <c r="Y33" s="64"/>
      <c r="AA33" s="156"/>
      <c r="AC33" s="25"/>
      <c r="AD33" s="64"/>
      <c r="AF33" s="156"/>
      <c r="AH33" s="25"/>
      <c r="AI33" s="64">
        <f t="shared" ref="AI33" si="12">+AH33*AG33</f>
        <v>0</v>
      </c>
    </row>
    <row r="34" spans="1:36" x14ac:dyDescent="0.3">
      <c r="B34" s="12" t="s">
        <v>53</v>
      </c>
      <c r="C34" s="65">
        <v>120</v>
      </c>
      <c r="D34" s="25">
        <v>30</v>
      </c>
      <c r="E34" s="64">
        <f>+D34*C34</f>
        <v>3600</v>
      </c>
      <c r="F34" s="64"/>
      <c r="G34" s="12" t="s">
        <v>53</v>
      </c>
      <c r="H34" s="65"/>
      <c r="I34" s="25">
        <v>30</v>
      </c>
      <c r="J34" s="64">
        <f>+I34*H34</f>
        <v>0</v>
      </c>
      <c r="K34" s="64"/>
      <c r="L34" s="76"/>
      <c r="M34" s="65"/>
      <c r="N34" s="25"/>
      <c r="O34" s="64">
        <f>+N34*M34</f>
        <v>0</v>
      </c>
      <c r="P34" s="64"/>
      <c r="Q34" s="76"/>
      <c r="R34" s="65"/>
      <c r="S34" s="25"/>
      <c r="T34" s="64">
        <f>+S34*R34</f>
        <v>0</v>
      </c>
      <c r="U34" s="64"/>
      <c r="V34" s="76"/>
      <c r="W34" s="65"/>
      <c r="X34" s="25"/>
      <c r="Y34" s="64">
        <f>+X34*W34</f>
        <v>0</v>
      </c>
      <c r="Z34" s="64"/>
      <c r="AA34" s="76"/>
      <c r="AB34" s="65"/>
      <c r="AC34" s="25"/>
      <c r="AD34" s="64">
        <f>+AC34*AB34</f>
        <v>0</v>
      </c>
      <c r="AE34" s="64"/>
      <c r="AF34" s="76"/>
      <c r="AG34" s="65"/>
      <c r="AH34" s="25"/>
      <c r="AI34" s="64">
        <f>+AH34*AG34</f>
        <v>0</v>
      </c>
      <c r="AJ34" s="64"/>
    </row>
    <row r="35" spans="1:36" x14ac:dyDescent="0.3">
      <c r="B35" s="13"/>
      <c r="C35" s="66"/>
      <c r="D35" s="67"/>
      <c r="E35" s="64">
        <f>SUM(E22:E34)*D35</f>
        <v>0</v>
      </c>
      <c r="F35" s="64"/>
      <c r="G35" s="13"/>
      <c r="H35" s="66"/>
      <c r="I35" s="67"/>
      <c r="J35" s="64">
        <f>SUM(J22:J34)*I35</f>
        <v>0</v>
      </c>
      <c r="K35" s="64"/>
      <c r="L35" s="13" t="s">
        <v>90</v>
      </c>
      <c r="M35" s="66">
        <v>1</v>
      </c>
      <c r="N35" s="67">
        <v>0.05</v>
      </c>
      <c r="O35" s="64">
        <f>SUM(O22:O34)*N35</f>
        <v>0</v>
      </c>
      <c r="P35" s="64"/>
      <c r="Q35" s="13" t="s">
        <v>90</v>
      </c>
      <c r="R35" s="66">
        <v>1</v>
      </c>
      <c r="S35" s="67">
        <v>0.05</v>
      </c>
      <c r="T35" s="64">
        <f>SUM(T22:T34)*S35</f>
        <v>0</v>
      </c>
      <c r="U35" s="64"/>
      <c r="V35" s="13" t="s">
        <v>90</v>
      </c>
      <c r="W35" s="66">
        <v>1</v>
      </c>
      <c r="X35" s="67">
        <v>0.05</v>
      </c>
      <c r="Y35" s="64">
        <f>SUM(Y22:Y34)*X35</f>
        <v>0</v>
      </c>
      <c r="Z35" s="64"/>
      <c r="AA35" s="13" t="s">
        <v>90</v>
      </c>
      <c r="AB35" s="66">
        <v>1</v>
      </c>
      <c r="AC35" s="67">
        <v>0.05</v>
      </c>
      <c r="AD35" s="64">
        <f>SUM(AD22:AD34)*AC35</f>
        <v>0</v>
      </c>
      <c r="AE35" s="64"/>
      <c r="AF35" s="13"/>
      <c r="AG35" s="66"/>
      <c r="AH35" s="67"/>
      <c r="AI35" s="64">
        <f>SUM(AI22:AI34)*AH35</f>
        <v>0</v>
      </c>
      <c r="AJ35" s="64"/>
    </row>
    <row r="36" spans="1:36" x14ac:dyDescent="0.3">
      <c r="B36" s="13" t="s">
        <v>23</v>
      </c>
      <c r="C36" s="66">
        <v>1</v>
      </c>
      <c r="D36" s="25">
        <v>300</v>
      </c>
      <c r="E36" s="64">
        <f>+D36*C36</f>
        <v>300</v>
      </c>
      <c r="F36" s="64"/>
      <c r="G36" s="13" t="s">
        <v>23</v>
      </c>
      <c r="H36" s="66"/>
      <c r="I36" s="25">
        <v>0</v>
      </c>
      <c r="J36" s="64">
        <f>+I36*H36</f>
        <v>0</v>
      </c>
      <c r="K36" s="64"/>
      <c r="L36" s="13" t="s">
        <v>23</v>
      </c>
      <c r="M36" s="66">
        <v>1</v>
      </c>
      <c r="N36" s="25">
        <v>0</v>
      </c>
      <c r="O36" s="64">
        <f>+N36*M36</f>
        <v>0</v>
      </c>
      <c r="P36" s="64"/>
      <c r="Q36" s="13" t="s">
        <v>23</v>
      </c>
      <c r="R36" s="66">
        <v>1</v>
      </c>
      <c r="S36" s="25">
        <v>0</v>
      </c>
      <c r="T36" s="64">
        <f>+S36*R36</f>
        <v>0</v>
      </c>
      <c r="U36" s="64"/>
      <c r="V36" s="13" t="s">
        <v>23</v>
      </c>
      <c r="W36" s="66">
        <v>1</v>
      </c>
      <c r="X36" s="25">
        <v>0</v>
      </c>
      <c r="Y36" s="64">
        <f>+X36*W36</f>
        <v>0</v>
      </c>
      <c r="Z36" s="64"/>
      <c r="AA36" s="13" t="s">
        <v>23</v>
      </c>
      <c r="AB36" s="66">
        <v>1</v>
      </c>
      <c r="AC36" s="25">
        <v>0</v>
      </c>
      <c r="AD36" s="64">
        <f>+AC36*AB36</f>
        <v>0</v>
      </c>
      <c r="AE36" s="64"/>
      <c r="AF36" s="13" t="s">
        <v>23</v>
      </c>
      <c r="AG36" s="66">
        <v>1</v>
      </c>
      <c r="AH36" s="25">
        <v>0</v>
      </c>
      <c r="AI36" s="64">
        <f>+AH36*AG36</f>
        <v>0</v>
      </c>
      <c r="AJ36" s="64"/>
    </row>
    <row r="37" spans="1:36" x14ac:dyDescent="0.3">
      <c r="B37" s="304" t="s">
        <v>22</v>
      </c>
      <c r="C37" s="304"/>
      <c r="D37" s="304"/>
      <c r="E37" s="26">
        <f>SUM(E22:E36)</f>
        <v>28490</v>
      </c>
      <c r="F37" s="26"/>
      <c r="G37" s="304" t="s">
        <v>22</v>
      </c>
      <c r="H37" s="304"/>
      <c r="I37" s="304"/>
      <c r="J37" s="26">
        <f>SUM(J22:J36)</f>
        <v>0</v>
      </c>
      <c r="K37" s="26"/>
      <c r="L37" s="304" t="s">
        <v>22</v>
      </c>
      <c r="M37" s="304"/>
      <c r="N37" s="304"/>
      <c r="O37" s="26">
        <f>SUM(O22:O36)</f>
        <v>0</v>
      </c>
      <c r="P37" s="26"/>
      <c r="Q37" s="304" t="s">
        <v>22</v>
      </c>
      <c r="R37" s="304"/>
      <c r="S37" s="304"/>
      <c r="T37" s="26">
        <f>SUM(T22:T36)</f>
        <v>0</v>
      </c>
      <c r="U37" s="26"/>
      <c r="V37" s="304" t="s">
        <v>22</v>
      </c>
      <c r="W37" s="304"/>
      <c r="X37" s="304"/>
      <c r="Y37" s="26">
        <f>SUM(Y22:Y36)</f>
        <v>0</v>
      </c>
      <c r="Z37" s="26"/>
      <c r="AA37" s="304" t="s">
        <v>22</v>
      </c>
      <c r="AB37" s="304"/>
      <c r="AC37" s="304"/>
      <c r="AD37" s="26">
        <f>SUM(AD22:AD36)</f>
        <v>0</v>
      </c>
      <c r="AE37" s="26"/>
      <c r="AF37" s="304" t="s">
        <v>22</v>
      </c>
      <c r="AG37" s="304"/>
      <c r="AH37" s="304"/>
      <c r="AI37" s="26">
        <f>SUM(AI22:AI36)</f>
        <v>420</v>
      </c>
      <c r="AJ37" s="26"/>
    </row>
    <row r="38" spans="1:36" ht="3" customHeight="1" x14ac:dyDescent="0.3">
      <c r="A38" s="5"/>
      <c r="B38" s="23"/>
      <c r="C38" s="74"/>
      <c r="I38" s="8"/>
      <c r="J38" s="10"/>
      <c r="N38" s="8"/>
      <c r="O38" s="10"/>
      <c r="S38" s="8"/>
      <c r="T38" s="10"/>
      <c r="X38" s="8"/>
      <c r="Y38" s="10"/>
      <c r="AC38" s="8"/>
      <c r="AD38" s="10"/>
      <c r="AH38" s="8"/>
      <c r="AI38" s="10"/>
    </row>
    <row r="39" spans="1:36" x14ac:dyDescent="0.3">
      <c r="B39" s="311" t="s">
        <v>33</v>
      </c>
      <c r="C39" s="311"/>
      <c r="D39" s="311"/>
      <c r="E39" s="311"/>
    </row>
    <row r="40" spans="1:36" x14ac:dyDescent="0.3">
      <c r="B40" s="21" t="s">
        <v>0</v>
      </c>
      <c r="C40" s="21" t="s">
        <v>87</v>
      </c>
      <c r="D40" s="21" t="s">
        <v>88</v>
      </c>
      <c r="E40" s="21" t="s">
        <v>89</v>
      </c>
    </row>
    <row r="41" spans="1:36" x14ac:dyDescent="0.3">
      <c r="B41" s="76" t="s">
        <v>199</v>
      </c>
      <c r="C41" s="65">
        <v>40</v>
      </c>
      <c r="D41" s="25">
        <v>50</v>
      </c>
      <c r="E41" s="64">
        <f t="shared" ref="E41:E47" si="13">+D41*C41</f>
        <v>2000</v>
      </c>
    </row>
    <row r="42" spans="1:36" x14ac:dyDescent="0.3">
      <c r="A42" s="24"/>
      <c r="B42" s="76"/>
      <c r="C42" s="65"/>
      <c r="D42" s="25"/>
      <c r="E42" s="64">
        <f t="shared" si="13"/>
        <v>0</v>
      </c>
      <c r="AI42" s="65"/>
    </row>
    <row r="43" spans="1:36" x14ac:dyDescent="0.3">
      <c r="A43" s="24"/>
      <c r="B43" s="76"/>
      <c r="C43" s="65"/>
      <c r="D43" s="25"/>
      <c r="E43" s="64">
        <f t="shared" si="13"/>
        <v>0</v>
      </c>
      <c r="AI43" s="65"/>
    </row>
    <row r="44" spans="1:36" x14ac:dyDescent="0.3">
      <c r="A44" s="24"/>
      <c r="B44" s="76"/>
      <c r="C44" s="65"/>
      <c r="D44" s="25"/>
      <c r="E44" s="64">
        <f t="shared" si="13"/>
        <v>0</v>
      </c>
      <c r="AI44" s="65"/>
    </row>
    <row r="45" spans="1:36" x14ac:dyDescent="0.3">
      <c r="B45" s="76"/>
      <c r="C45" s="65"/>
      <c r="D45" s="25"/>
      <c r="E45" s="64">
        <f t="shared" si="13"/>
        <v>0</v>
      </c>
      <c r="AI45" s="65"/>
    </row>
    <row r="46" spans="1:36" x14ac:dyDescent="0.3">
      <c r="B46" s="76"/>
      <c r="C46" s="65"/>
      <c r="D46" s="25"/>
      <c r="E46" s="64">
        <f t="shared" si="13"/>
        <v>0</v>
      </c>
      <c r="AI46" s="65"/>
    </row>
    <row r="47" spans="1:36" x14ac:dyDescent="0.3">
      <c r="B47" s="12" t="s">
        <v>53</v>
      </c>
      <c r="C47" s="65"/>
      <c r="D47" s="25">
        <v>30</v>
      </c>
      <c r="E47" s="64">
        <f t="shared" si="13"/>
        <v>0</v>
      </c>
      <c r="AI47" s="65"/>
    </row>
    <row r="48" spans="1:36" x14ac:dyDescent="0.3">
      <c r="B48" s="13" t="s">
        <v>90</v>
      </c>
      <c r="C48" s="65"/>
      <c r="D48" s="67"/>
      <c r="E48" s="64">
        <f>SUM(E39:E47)*D48</f>
        <v>0</v>
      </c>
      <c r="AI48" s="65"/>
    </row>
    <row r="49" spans="1:35" x14ac:dyDescent="0.3">
      <c r="B49" s="13" t="s">
        <v>23</v>
      </c>
      <c r="D49" s="25">
        <v>0</v>
      </c>
      <c r="E49" s="64">
        <f>+D49*C49</f>
        <v>0</v>
      </c>
      <c r="AI49" s="65"/>
    </row>
    <row r="50" spans="1:35" x14ac:dyDescent="0.3">
      <c r="B50" s="304" t="s">
        <v>22</v>
      </c>
      <c r="C50" s="304"/>
      <c r="D50" s="304"/>
      <c r="E50" s="26">
        <f>SUM(E39:E49)</f>
        <v>2000</v>
      </c>
      <c r="AI50" s="6"/>
    </row>
    <row r="51" spans="1:35" ht="3" customHeight="1" x14ac:dyDescent="0.3">
      <c r="A51" s="5"/>
      <c r="B51" s="23"/>
      <c r="C51" s="74"/>
      <c r="I51" s="8"/>
      <c r="J51" s="10"/>
      <c r="N51" s="8"/>
      <c r="O51" s="10"/>
      <c r="S51" s="8"/>
      <c r="T51" s="10"/>
      <c r="X51" s="8"/>
      <c r="Y51" s="10"/>
      <c r="AC51" s="8"/>
      <c r="AD51" s="10"/>
      <c r="AH51" s="8"/>
      <c r="AI51" s="65"/>
    </row>
    <row r="52" spans="1:35" x14ac:dyDescent="0.3">
      <c r="B52" s="303" t="s">
        <v>12</v>
      </c>
      <c r="C52" s="303"/>
      <c r="D52" s="303"/>
      <c r="E52" s="303"/>
    </row>
    <row r="53" spans="1:35" x14ac:dyDescent="0.3">
      <c r="A53" s="24"/>
      <c r="B53" s="21" t="s">
        <v>0</v>
      </c>
      <c r="C53" s="21" t="s">
        <v>87</v>
      </c>
      <c r="D53" s="21" t="s">
        <v>88</v>
      </c>
      <c r="E53" s="21" t="s">
        <v>89</v>
      </c>
      <c r="AI53" s="65"/>
    </row>
    <row r="54" spans="1:35" x14ac:dyDescent="0.3">
      <c r="A54" s="24"/>
      <c r="B54" s="76" t="s">
        <v>201</v>
      </c>
      <c r="C54" s="65">
        <v>1</v>
      </c>
      <c r="D54" s="25">
        <f>VLOOKUP(B54,Coster!$B$5:$D$43,3,FALSE)</f>
        <v>370</v>
      </c>
      <c r="E54" s="64">
        <f t="shared" ref="E54:E64" si="14">+D54*C54</f>
        <v>370</v>
      </c>
      <c r="AI54" s="66"/>
    </row>
    <row r="55" spans="1:35" x14ac:dyDescent="0.3">
      <c r="B55" s="76" t="s">
        <v>220</v>
      </c>
      <c r="C55" s="65">
        <v>1</v>
      </c>
      <c r="D55" s="25">
        <f>VLOOKUP(B55,Coster!$B$5:$D$43,3,FALSE)</f>
        <v>310</v>
      </c>
      <c r="E55" s="64">
        <f t="shared" si="14"/>
        <v>310</v>
      </c>
      <c r="AI55" s="66"/>
    </row>
    <row r="56" spans="1:35" x14ac:dyDescent="0.3">
      <c r="B56" s="76" t="s">
        <v>206</v>
      </c>
      <c r="C56" s="65">
        <v>1</v>
      </c>
      <c r="D56" s="25">
        <f>VLOOKUP(B56,Coster!$B$5:$D$43,3,FALSE)</f>
        <v>390</v>
      </c>
      <c r="E56" s="64">
        <f t="shared" si="14"/>
        <v>390</v>
      </c>
    </row>
    <row r="57" spans="1:35" x14ac:dyDescent="0.3">
      <c r="B57" s="76" t="s">
        <v>221</v>
      </c>
      <c r="C57" s="65">
        <v>1</v>
      </c>
      <c r="D57" s="25">
        <f>VLOOKUP(B57,Coster!$B$5:$D$43,3,FALSE)</f>
        <v>120</v>
      </c>
      <c r="E57" s="64">
        <f t="shared" si="14"/>
        <v>120</v>
      </c>
    </row>
    <row r="58" spans="1:35" x14ac:dyDescent="0.3">
      <c r="B58" s="76" t="s">
        <v>204</v>
      </c>
      <c r="C58" s="65">
        <v>2</v>
      </c>
      <c r="D58" s="25">
        <f>VLOOKUP(B58,Coster!$B$5:$D$43,3,FALSE)</f>
        <v>40</v>
      </c>
      <c r="E58" s="64">
        <f t="shared" si="14"/>
        <v>80</v>
      </c>
    </row>
    <row r="59" spans="1:35" x14ac:dyDescent="0.3">
      <c r="B59" s="76" t="s">
        <v>205</v>
      </c>
      <c r="C59" s="65">
        <v>1</v>
      </c>
      <c r="D59" s="25">
        <f>VLOOKUP(B59,Coster!$B$5:$D$43,3,FALSE)</f>
        <v>30</v>
      </c>
      <c r="E59" s="64">
        <f t="shared" si="14"/>
        <v>30</v>
      </c>
    </row>
    <row r="60" spans="1:35" x14ac:dyDescent="0.3">
      <c r="B60" s="76" t="s">
        <v>203</v>
      </c>
      <c r="C60" s="65">
        <v>1</v>
      </c>
      <c r="D60" s="25">
        <f>VLOOKUP(B60,Coster!$B$5:$D$43,3,FALSE)</f>
        <v>30</v>
      </c>
      <c r="E60" s="64">
        <f t="shared" si="14"/>
        <v>30</v>
      </c>
    </row>
    <row r="61" spans="1:35" x14ac:dyDescent="0.3">
      <c r="B61" s="12"/>
      <c r="C61" s="65"/>
      <c r="D61" s="25"/>
      <c r="E61" s="64">
        <f t="shared" si="14"/>
        <v>0</v>
      </c>
    </row>
    <row r="62" spans="1:35" x14ac:dyDescent="0.3">
      <c r="B62" s="76"/>
      <c r="D62" s="25"/>
      <c r="E62" s="64">
        <f t="shared" si="14"/>
        <v>0</v>
      </c>
    </row>
    <row r="63" spans="1:35" x14ac:dyDescent="0.3">
      <c r="B63" s="12" t="s">
        <v>273</v>
      </c>
      <c r="C63" s="65">
        <v>1</v>
      </c>
      <c r="D63" s="25">
        <v>500</v>
      </c>
      <c r="E63" s="64">
        <f t="shared" si="14"/>
        <v>500</v>
      </c>
    </row>
    <row r="64" spans="1:35" x14ac:dyDescent="0.3">
      <c r="B64" s="12" t="s">
        <v>53</v>
      </c>
      <c r="C64" s="65">
        <v>48</v>
      </c>
      <c r="D64" s="25">
        <v>30</v>
      </c>
      <c r="E64" s="64">
        <f t="shared" si="14"/>
        <v>1440</v>
      </c>
    </row>
    <row r="65" spans="2:5" x14ac:dyDescent="0.3">
      <c r="B65" s="13"/>
      <c r="C65" s="65"/>
      <c r="D65" s="67"/>
      <c r="E65" s="64">
        <f>SUM(E52:E64)*D65</f>
        <v>0</v>
      </c>
    </row>
    <row r="66" spans="2:5" x14ac:dyDescent="0.3">
      <c r="B66" s="13" t="s">
        <v>23</v>
      </c>
      <c r="C66" s="66"/>
      <c r="D66" s="25">
        <v>0</v>
      </c>
      <c r="E66" s="64">
        <f>+D66*C66</f>
        <v>0</v>
      </c>
    </row>
    <row r="67" spans="2:5" x14ac:dyDescent="0.3">
      <c r="B67" s="304" t="s">
        <v>22</v>
      </c>
      <c r="C67" s="304"/>
      <c r="D67" s="304"/>
      <c r="E67" s="26">
        <f>SUM(E52:E66)</f>
        <v>3270</v>
      </c>
    </row>
    <row r="68" spans="2:5" x14ac:dyDescent="0.3">
      <c r="B68" s="57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0"/>
      <c r="C72" s="51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58"/>
      <c r="C77" s="59"/>
      <c r="D77" s="15"/>
      <c r="E77" s="15"/>
    </row>
    <row r="78" spans="2:5" x14ac:dyDescent="0.3">
      <c r="B78" s="60"/>
      <c r="C78" s="61"/>
      <c r="D78" s="15"/>
      <c r="E78" s="15"/>
    </row>
    <row r="79" spans="2:5" x14ac:dyDescent="0.3">
      <c r="B79" s="62"/>
      <c r="C79" s="63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58"/>
      <c r="C81" s="56"/>
      <c r="D81" s="15"/>
      <c r="E81" s="15"/>
    </row>
    <row r="82" spans="2:5" x14ac:dyDescent="0.3">
      <c r="B82" s="79"/>
      <c r="C82" s="80"/>
      <c r="D82" s="15"/>
      <c r="E82" s="15"/>
    </row>
  </sheetData>
  <mergeCells count="23">
    <mergeCell ref="AF37:AH37"/>
    <mergeCell ref="B39:E39"/>
    <mergeCell ref="B50:D50"/>
    <mergeCell ref="B52:E52"/>
    <mergeCell ref="B67:D67"/>
    <mergeCell ref="B37:D37"/>
    <mergeCell ref="G37:I37"/>
    <mergeCell ref="L37:N37"/>
    <mergeCell ref="Q37:S37"/>
    <mergeCell ref="V37:X37"/>
    <mergeCell ref="AA37:AC37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AJ81"/>
  <sheetViews>
    <sheetView zoomScaleNormal="100" workbookViewId="0">
      <selection activeCell="B1" sqref="B1:E1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customWidth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Riassunto!D12</f>
        <v>Scuola Elementare Giorgio Cini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+Riassunto!L12</f>
        <v>9827</v>
      </c>
      <c r="D2" s="306"/>
      <c r="E2" s="306"/>
    </row>
    <row r="3" spans="1:36" x14ac:dyDescent="0.3">
      <c r="A3" s="5"/>
      <c r="B3" s="5" t="s">
        <v>17</v>
      </c>
      <c r="C3" s="307">
        <f>Riassunto!I12</f>
        <v>295</v>
      </c>
      <c r="D3" s="307"/>
      <c r="E3" t="s">
        <v>18</v>
      </c>
    </row>
    <row r="4" spans="1:36" x14ac:dyDescent="0.3">
      <c r="A4" s="5"/>
      <c r="B4" s="5" t="s">
        <v>86</v>
      </c>
      <c r="C4" s="308">
        <v>20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27.984125368881653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0.86</v>
      </c>
      <c r="D8" s="108">
        <v>1</v>
      </c>
      <c r="E8" s="109">
        <f>+D8-C8</f>
        <v>0.14000000000000001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0.93</v>
      </c>
      <c r="D9" s="108">
        <v>0.96</v>
      </c>
      <c r="E9" s="109">
        <f t="shared" ref="E9:E12" si="0">+D9-C9</f>
        <v>2.9999999999999916E-2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0.92900000000000005</v>
      </c>
      <c r="D10" s="108">
        <v>0.92900000000000005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0.94</v>
      </c>
      <c r="D11" s="108">
        <v>0.94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0.69843334800000001</v>
      </c>
      <c r="D12" s="110">
        <f>+D8*D9*D10*D11</f>
        <v>0.8383295999999999</v>
      </c>
      <c r="E12" s="111">
        <f t="shared" si="0"/>
        <v>0.13989625199999989</v>
      </c>
      <c r="F12" s="16"/>
      <c r="G12" s="13" t="s">
        <v>48</v>
      </c>
      <c r="H12" s="77">
        <v>0.2</v>
      </c>
      <c r="K12" s="16"/>
      <c r="L12" s="5" t="s">
        <v>100</v>
      </c>
      <c r="M12" s="77"/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>
        <v>0.9</v>
      </c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0.13989625199999989</v>
      </c>
      <c r="D14" s="115"/>
      <c r="E14" s="115"/>
      <c r="G14" s="8" t="s">
        <v>50</v>
      </c>
      <c r="H14" s="78">
        <f>+H13*H12</f>
        <v>0.18000000000000002</v>
      </c>
      <c r="L14" s="19" t="s">
        <v>43</v>
      </c>
      <c r="M14" s="78">
        <f>+M12*M13*(M10-M11)/M10</f>
        <v>0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24.069251114276994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256.52853070000003</v>
      </c>
      <c r="D18" s="72">
        <f>+(D17*$C$2/1000)+$C$4</f>
        <v>265.67500000000001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 t="s">
        <v>171</v>
      </c>
      <c r="C22" s="65">
        <v>1</v>
      </c>
      <c r="D22" s="25">
        <v>500</v>
      </c>
      <c r="E22" s="64">
        <f>+D22*C22</f>
        <v>500</v>
      </c>
      <c r="F22" s="64"/>
      <c r="G22" s="76" t="s">
        <v>431</v>
      </c>
      <c r="H22" s="65">
        <v>1</v>
      </c>
      <c r="I22" s="25">
        <f>+Riello!D38</f>
        <v>2100</v>
      </c>
      <c r="J22" s="64">
        <f>+I22*H22</f>
        <v>2100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321</v>
      </c>
      <c r="AG22" s="65">
        <v>1</v>
      </c>
      <c r="AH22" s="25">
        <v>100</v>
      </c>
      <c r="AI22" s="64">
        <f>+AH22*AG22</f>
        <v>100</v>
      </c>
      <c r="AJ22" s="64"/>
    </row>
    <row r="23" spans="1:36" x14ac:dyDescent="0.3">
      <c r="B23" s="76" t="s">
        <v>303</v>
      </c>
      <c r="C23" s="65">
        <v>1</v>
      </c>
      <c r="D23" s="25">
        <v>1500</v>
      </c>
      <c r="E23" s="64">
        <f t="shared" ref="E23:E31" si="3">+D23*C23</f>
        <v>1500</v>
      </c>
      <c r="F23" s="64"/>
      <c r="G23" s="76" t="s">
        <v>330</v>
      </c>
      <c r="H23" s="65">
        <v>1</v>
      </c>
      <c r="I23" s="25">
        <v>500</v>
      </c>
      <c r="J23" s="64">
        <f t="shared" ref="J23:J32" si="4">+I23*H23</f>
        <v>500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 t="s">
        <v>223</v>
      </c>
      <c r="AG23" s="65">
        <v>1</v>
      </c>
      <c r="AH23" s="25">
        <v>80</v>
      </c>
      <c r="AI23" s="64">
        <f t="shared" ref="AI23:AI32" si="9">+AH23*AG23</f>
        <v>80</v>
      </c>
      <c r="AJ23" s="64"/>
    </row>
    <row r="24" spans="1:36" x14ac:dyDescent="0.3">
      <c r="B24" s="76" t="s">
        <v>309</v>
      </c>
      <c r="C24" s="65">
        <v>1</v>
      </c>
      <c r="D24" s="25">
        <f>+Riello!L5</f>
        <v>13800</v>
      </c>
      <c r="E24" s="64">
        <f t="shared" si="3"/>
        <v>13800</v>
      </c>
      <c r="F24" s="64"/>
      <c r="G24" s="76" t="s">
        <v>432</v>
      </c>
      <c r="H24" s="65"/>
      <c r="I24" s="25">
        <v>2000</v>
      </c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224</v>
      </c>
      <c r="AG24" s="65">
        <v>1</v>
      </c>
      <c r="AH24" s="25">
        <v>80</v>
      </c>
      <c r="AI24" s="64">
        <f t="shared" ref="AI24" si="10">+AH24*AG24</f>
        <v>80</v>
      </c>
      <c r="AJ24" s="64"/>
    </row>
    <row r="25" spans="1:36" x14ac:dyDescent="0.3">
      <c r="B25" s="76" t="s">
        <v>310</v>
      </c>
      <c r="C25" s="65">
        <v>1</v>
      </c>
      <c r="D25" s="25">
        <v>1000</v>
      </c>
      <c r="E25" s="64">
        <f t="shared" si="3"/>
        <v>1000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 t="s">
        <v>225</v>
      </c>
      <c r="AG25" s="65">
        <v>3</v>
      </c>
      <c r="AH25" s="25">
        <v>10</v>
      </c>
      <c r="AI25" s="64">
        <f t="shared" si="9"/>
        <v>30</v>
      </c>
      <c r="AJ25" s="64"/>
    </row>
    <row r="26" spans="1:36" x14ac:dyDescent="0.3">
      <c r="B26" s="76" t="s">
        <v>318</v>
      </c>
      <c r="C26" s="65">
        <v>1</v>
      </c>
      <c r="D26" s="25">
        <v>500</v>
      </c>
      <c r="E26" s="64">
        <f t="shared" si="3"/>
        <v>500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 t="s">
        <v>322</v>
      </c>
      <c r="AG26" s="65">
        <v>1</v>
      </c>
      <c r="AH26" s="25">
        <v>200</v>
      </c>
      <c r="AI26" s="64">
        <f t="shared" si="9"/>
        <v>200</v>
      </c>
      <c r="AJ26" s="64"/>
    </row>
    <row r="27" spans="1:36" x14ac:dyDescent="0.3">
      <c r="B27" s="76" t="s">
        <v>216</v>
      </c>
      <c r="C27" s="65">
        <v>4</v>
      </c>
      <c r="D27" s="25">
        <f>VLOOKUP(B27,Coster!$B$5:$D$43,3,FALSE)</f>
        <v>220</v>
      </c>
      <c r="E27" s="64">
        <f t="shared" si="3"/>
        <v>880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 t="s">
        <v>313</v>
      </c>
      <c r="C28" s="65">
        <v>1</v>
      </c>
      <c r="D28" s="25">
        <v>2000</v>
      </c>
      <c r="E28" s="64">
        <f t="shared" si="3"/>
        <v>2000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 t="s">
        <v>319</v>
      </c>
      <c r="C29" s="65">
        <v>1</v>
      </c>
      <c r="D29" s="25">
        <v>2500</v>
      </c>
      <c r="E29" s="64">
        <f t="shared" si="3"/>
        <v>2500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 t="s">
        <v>315</v>
      </c>
      <c r="C30" s="65">
        <v>1</v>
      </c>
      <c r="D30" s="25">
        <v>1000</v>
      </c>
      <c r="E30" s="64">
        <f t="shared" si="3"/>
        <v>1000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 t="s">
        <v>192</v>
      </c>
      <c r="C31" s="65">
        <v>4</v>
      </c>
      <c r="D31" s="25">
        <f>+Grundfos!F12</f>
        <v>600</v>
      </c>
      <c r="E31" s="64">
        <f t="shared" si="3"/>
        <v>2400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 t="s">
        <v>452</v>
      </c>
      <c r="C32" s="65">
        <v>1</v>
      </c>
      <c r="D32" s="64">
        <f>'Contatori di energia'!E12</f>
        <v>1900</v>
      </c>
      <c r="E32" s="64">
        <f t="shared" ref="E32" si="11">+D32*C32</f>
        <v>1900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>
        <v>120</v>
      </c>
      <c r="D33" s="25">
        <v>30</v>
      </c>
      <c r="E33" s="64">
        <f>+D33*C33</f>
        <v>3600</v>
      </c>
      <c r="F33" s="64"/>
      <c r="G33" s="12" t="s">
        <v>53</v>
      </c>
      <c r="H33" s="65">
        <v>64</v>
      </c>
      <c r="I33" s="25">
        <v>30</v>
      </c>
      <c r="J33" s="64">
        <f>+I33*H33</f>
        <v>1920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/>
      <c r="I34" s="67"/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300</v>
      </c>
      <c r="E35" s="64">
        <f>+D35*C35</f>
        <v>300</v>
      </c>
      <c r="F35" s="64"/>
      <c r="G35" s="13" t="s">
        <v>23</v>
      </c>
      <c r="H35" s="66">
        <v>1</v>
      </c>
      <c r="I35" s="25">
        <v>500</v>
      </c>
      <c r="J35" s="64">
        <f>+I35*H35</f>
        <v>500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31880</v>
      </c>
      <c r="F36" s="26"/>
      <c r="G36" s="304" t="s">
        <v>22</v>
      </c>
      <c r="H36" s="304"/>
      <c r="I36" s="304"/>
      <c r="J36" s="26">
        <f>SUM(J22:J35)</f>
        <v>5020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490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 t="s">
        <v>320</v>
      </c>
      <c r="C40" s="65">
        <v>82</v>
      </c>
      <c r="D40" s="25">
        <v>50</v>
      </c>
      <c r="E40" s="64">
        <f t="shared" ref="E40:E46" si="12">+D40*C40</f>
        <v>4100</v>
      </c>
    </row>
    <row r="41" spans="1:36" x14ac:dyDescent="0.3">
      <c r="A41" s="24"/>
      <c r="B41" s="76"/>
      <c r="C41" s="65"/>
      <c r="D41" s="25"/>
      <c r="E41" s="64">
        <f t="shared" si="12"/>
        <v>0</v>
      </c>
    </row>
    <row r="42" spans="1:36" x14ac:dyDescent="0.3">
      <c r="A42" s="24"/>
      <c r="B42" s="76"/>
      <c r="C42" s="65"/>
      <c r="D42" s="25"/>
      <c r="E42" s="64">
        <f t="shared" si="12"/>
        <v>0</v>
      </c>
    </row>
    <row r="43" spans="1:36" x14ac:dyDescent="0.3">
      <c r="A43" s="24"/>
      <c r="B43" s="76"/>
      <c r="C43" s="65"/>
      <c r="D43" s="25"/>
      <c r="E43" s="64">
        <f t="shared" si="12"/>
        <v>0</v>
      </c>
    </row>
    <row r="44" spans="1:36" x14ac:dyDescent="0.3">
      <c r="B44" s="76"/>
      <c r="C44" s="65"/>
      <c r="D44" s="25"/>
      <c r="E44" s="64">
        <f t="shared" si="12"/>
        <v>0</v>
      </c>
      <c r="AH44" s="65"/>
    </row>
    <row r="45" spans="1:36" x14ac:dyDescent="0.3">
      <c r="B45" s="76"/>
      <c r="C45" s="65"/>
      <c r="D45" s="25"/>
      <c r="E45" s="64">
        <f t="shared" si="12"/>
        <v>0</v>
      </c>
      <c r="AH45" s="65"/>
    </row>
    <row r="46" spans="1:36" x14ac:dyDescent="0.3">
      <c r="B46" s="12" t="s">
        <v>53</v>
      </c>
      <c r="C46" s="65"/>
      <c r="D46" s="25">
        <v>30</v>
      </c>
      <c r="E46" s="64">
        <f t="shared" si="12"/>
        <v>0</v>
      </c>
      <c r="AH46" s="65"/>
    </row>
    <row r="47" spans="1:36" x14ac:dyDescent="0.3">
      <c r="B47" s="13"/>
      <c r="C47" s="65"/>
      <c r="D47" s="67"/>
      <c r="E47" s="64">
        <f>SUM(E38:E46)*D47</f>
        <v>0</v>
      </c>
      <c r="AH47" s="65"/>
    </row>
    <row r="48" spans="1:36" x14ac:dyDescent="0.3">
      <c r="B48" s="13" t="s">
        <v>23</v>
      </c>
      <c r="D48" s="25">
        <v>0</v>
      </c>
      <c r="E48" s="64">
        <f>+D48*C48</f>
        <v>0</v>
      </c>
      <c r="AH48" s="65"/>
    </row>
    <row r="49" spans="1:35" x14ac:dyDescent="0.3">
      <c r="B49" s="304" t="s">
        <v>22</v>
      </c>
      <c r="C49" s="304"/>
      <c r="D49" s="304"/>
      <c r="E49" s="26">
        <f>SUM(E38:E48)</f>
        <v>4100</v>
      </c>
      <c r="AH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65"/>
      <c r="AI50" s="10"/>
    </row>
    <row r="51" spans="1:35" x14ac:dyDescent="0.3">
      <c r="B51" s="303" t="s">
        <v>12</v>
      </c>
      <c r="C51" s="303"/>
      <c r="D51" s="303"/>
      <c r="E51" s="303"/>
      <c r="AH51" s="65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H52" s="6"/>
    </row>
    <row r="53" spans="1:35" x14ac:dyDescent="0.3">
      <c r="A53" s="24"/>
      <c r="B53" s="76" t="s">
        <v>324</v>
      </c>
      <c r="C53" s="65">
        <v>1</v>
      </c>
      <c r="D53" s="25">
        <f>VLOOKUP(B53,Coster!$B$5:$D$43,3,FALSE)</f>
        <v>430</v>
      </c>
      <c r="E53" s="64">
        <f t="shared" ref="E53:E63" si="13">+D53*C53</f>
        <v>430</v>
      </c>
      <c r="AF53" t="s">
        <v>323</v>
      </c>
      <c r="AH53" s="65"/>
    </row>
    <row r="54" spans="1:35" x14ac:dyDescent="0.3">
      <c r="B54" s="76" t="s">
        <v>207</v>
      </c>
      <c r="C54" s="65">
        <v>2</v>
      </c>
      <c r="D54" s="25">
        <f>VLOOKUP(B54,Coster!$B$5:$D$43,3,FALSE)</f>
        <v>550</v>
      </c>
      <c r="E54" s="64">
        <f t="shared" si="13"/>
        <v>1100</v>
      </c>
    </row>
    <row r="55" spans="1:35" x14ac:dyDescent="0.3">
      <c r="B55" s="76" t="s">
        <v>221</v>
      </c>
      <c r="C55" s="65">
        <v>1</v>
      </c>
      <c r="D55" s="25">
        <f>VLOOKUP(B55,Coster!$B$5:$D$43,3,FALSE)</f>
        <v>120</v>
      </c>
      <c r="E55" s="64">
        <f t="shared" si="13"/>
        <v>120</v>
      </c>
      <c r="AH55" s="65"/>
    </row>
    <row r="56" spans="1:35" x14ac:dyDescent="0.3">
      <c r="B56" s="76" t="s">
        <v>203</v>
      </c>
      <c r="C56" s="65">
        <v>4</v>
      </c>
      <c r="D56" s="25">
        <f>VLOOKUP(B56,Coster!$B$5:$D$43,3,FALSE)</f>
        <v>30</v>
      </c>
      <c r="E56" s="64">
        <f t="shared" si="13"/>
        <v>120</v>
      </c>
      <c r="AH56" s="66"/>
    </row>
    <row r="57" spans="1:35" x14ac:dyDescent="0.3">
      <c r="B57" s="76" t="s">
        <v>204</v>
      </c>
      <c r="C57" s="65">
        <v>5</v>
      </c>
      <c r="D57" s="25">
        <f>VLOOKUP(B57,Coster!$B$5:$D$43,3,FALSE)</f>
        <v>40</v>
      </c>
      <c r="E57" s="64">
        <f t="shared" si="13"/>
        <v>200</v>
      </c>
      <c r="AH57" s="66"/>
    </row>
    <row r="58" spans="1:35" x14ac:dyDescent="0.3">
      <c r="B58" s="76" t="s">
        <v>205</v>
      </c>
      <c r="C58" s="65">
        <v>1</v>
      </c>
      <c r="D58" s="25">
        <f>VLOOKUP(B58,Coster!$B$5:$D$43,3,FALSE)</f>
        <v>30</v>
      </c>
      <c r="E58" s="64">
        <f t="shared" si="13"/>
        <v>30</v>
      </c>
    </row>
    <row r="59" spans="1:35" x14ac:dyDescent="0.3">
      <c r="B59" s="76"/>
      <c r="C59" s="65"/>
      <c r="D59" s="25"/>
      <c r="E59" s="64">
        <f t="shared" si="13"/>
        <v>0</v>
      </c>
    </row>
    <row r="60" spans="1:35" x14ac:dyDescent="0.3">
      <c r="B60" s="12"/>
      <c r="C60" s="65"/>
      <c r="D60" s="25"/>
      <c r="E60" s="64">
        <f t="shared" si="13"/>
        <v>0</v>
      </c>
    </row>
    <row r="61" spans="1:35" x14ac:dyDescent="0.3">
      <c r="B61" s="76"/>
      <c r="D61" s="25"/>
      <c r="E61" s="64">
        <f t="shared" si="13"/>
        <v>0</v>
      </c>
    </row>
    <row r="62" spans="1:35" x14ac:dyDescent="0.3">
      <c r="B62" s="12" t="s">
        <v>273</v>
      </c>
      <c r="C62" s="65">
        <v>1</v>
      </c>
      <c r="D62" s="25">
        <v>500</v>
      </c>
      <c r="E62" s="64">
        <f t="shared" si="13"/>
        <v>500</v>
      </c>
    </row>
    <row r="63" spans="1:35" x14ac:dyDescent="0.3">
      <c r="B63" s="12" t="s">
        <v>53</v>
      </c>
      <c r="C63">
        <f>4*8*2</f>
        <v>64</v>
      </c>
      <c r="D63" s="25">
        <v>30</v>
      </c>
      <c r="E63" s="64">
        <f t="shared" si="13"/>
        <v>1920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4420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AJ81"/>
  <sheetViews>
    <sheetView zoomScaleNormal="100" workbookViewId="0">
      <selection activeCell="C13" sqref="C13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/>
    <col min="8" max="10" width="12.6640625" hidden="1" customWidth="1"/>
    <col min="11" max="11" width="1.6640625" hidden="1" customWidth="1"/>
    <col min="12" max="12" width="45.6640625" customWidth="1"/>
    <col min="13" max="15" width="12.6640625" customWidth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customWidth="1" collapsed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Riassunto!D13</f>
        <v>Associazione Itaka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+Riassunto!L13</f>
        <v>718.5</v>
      </c>
      <c r="D2" s="306"/>
      <c r="E2" s="306"/>
    </row>
    <row r="3" spans="1:36" x14ac:dyDescent="0.3">
      <c r="A3" s="5"/>
      <c r="B3" s="5" t="s">
        <v>17</v>
      </c>
      <c r="C3" s="307">
        <f>Riassunto!I13</f>
        <v>34.1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47.45998608211552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0.82</v>
      </c>
      <c r="D8" s="108">
        <v>1</v>
      </c>
      <c r="E8" s="109">
        <f>+D8-C8</f>
        <v>0.18000000000000005</v>
      </c>
      <c r="F8" s="22"/>
      <c r="G8" s="22"/>
      <c r="H8" s="22"/>
      <c r="I8" s="22"/>
      <c r="J8" s="22"/>
      <c r="K8" s="22"/>
      <c r="L8" s="81" t="s">
        <v>98</v>
      </c>
      <c r="M8" s="82">
        <v>95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0.93</v>
      </c>
      <c r="D9" s="108">
        <v>0.96</v>
      </c>
      <c r="E9" s="109">
        <f t="shared" ref="E9:E12" si="0">+D9-C9</f>
        <v>2.9999999999999916E-2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0.95399999999999996</v>
      </c>
      <c r="D10" s="108">
        <v>0.95399999999999996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1.5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0.92</v>
      </c>
      <c r="D11" s="108">
        <v>0.92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0.2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0.66931876800000001</v>
      </c>
      <c r="D12" s="110">
        <f>+D8*D9*D10*D11</f>
        <v>0.8425727999999999</v>
      </c>
      <c r="E12" s="111">
        <f t="shared" si="0"/>
        <v>0.17325403199999989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0.17325403199999989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0.21233333333333329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39.237352134725128</v>
      </c>
      <c r="D17" s="70">
        <v>35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28.192037508800002</v>
      </c>
      <c r="D18" s="72">
        <f>+(D17*$C$2/1000)+$C$4</f>
        <v>25.147500000000001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 t="s">
        <v>371</v>
      </c>
      <c r="C22" s="65">
        <v>1</v>
      </c>
      <c r="D22" s="25">
        <v>400</v>
      </c>
      <c r="E22" s="64">
        <f>+D22*C22</f>
        <v>400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>
        <v>500</v>
      </c>
      <c r="O22" s="64">
        <f>+N22*M22</f>
        <v>500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76" t="s">
        <v>376</v>
      </c>
      <c r="C23" s="65">
        <v>1</v>
      </c>
      <c r="D23" s="25">
        <f>+Riello!H21</f>
        <v>1500</v>
      </c>
      <c r="E23" s="64">
        <f t="shared" ref="E23:E32" si="3">+D23*C23</f>
        <v>1500</v>
      </c>
      <c r="F23" s="64"/>
      <c r="G23" s="76"/>
      <c r="H23" s="65"/>
      <c r="I23" s="25"/>
      <c r="J23" s="64">
        <f t="shared" ref="J23:J32" si="4">+I23*H23</f>
        <v>0</v>
      </c>
      <c r="K23" s="64"/>
      <c r="L23" s="76" t="s">
        <v>381</v>
      </c>
      <c r="M23" s="125">
        <f>+M8*(1-M9)</f>
        <v>95</v>
      </c>
      <c r="N23" s="17">
        <v>40</v>
      </c>
      <c r="O23" s="64">
        <f t="shared" ref="O23:O32" si="5">+N23*M23</f>
        <v>3800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76" t="s">
        <v>377</v>
      </c>
      <c r="C24" s="65">
        <v>2</v>
      </c>
      <c r="D24" s="25">
        <f>+Grundfos!F5</f>
        <v>170</v>
      </c>
      <c r="E24" s="64">
        <f t="shared" si="3"/>
        <v>340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76" t="s">
        <v>379</v>
      </c>
      <c r="C25" s="65">
        <v>1</v>
      </c>
      <c r="D25" s="25">
        <v>500</v>
      </c>
      <c r="E25" s="64">
        <f t="shared" si="3"/>
        <v>500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 t="s">
        <v>197</v>
      </c>
      <c r="C26" s="65">
        <v>1</v>
      </c>
      <c r="D26" s="25">
        <v>300</v>
      </c>
      <c r="E26" s="64">
        <f t="shared" si="3"/>
        <v>300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 t="s">
        <v>380</v>
      </c>
      <c r="C27" s="65">
        <v>1</v>
      </c>
      <c r="D27" s="25">
        <v>300</v>
      </c>
      <c r="E27" s="64">
        <f t="shared" si="3"/>
        <v>300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 t="s">
        <v>227</v>
      </c>
      <c r="C28" s="65">
        <v>1</v>
      </c>
      <c r="D28" s="25">
        <v>600</v>
      </c>
      <c r="E28" s="64">
        <f t="shared" si="3"/>
        <v>600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 t="s">
        <v>456</v>
      </c>
      <c r="C29" s="65">
        <v>1</v>
      </c>
      <c r="D29" s="25">
        <f>'Contatori di energia'!E8</f>
        <v>800</v>
      </c>
      <c r="E29" s="64">
        <f t="shared" si="3"/>
        <v>800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>
        <f>2*2*8</f>
        <v>32</v>
      </c>
      <c r="D33" s="25">
        <v>30</v>
      </c>
      <c r="E33" s="64">
        <f>+D33*C33</f>
        <v>960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/>
      <c r="M34" s="66"/>
      <c r="N34" s="67"/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5700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4300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156" t="s">
        <v>320</v>
      </c>
      <c r="C40" s="65">
        <v>12</v>
      </c>
      <c r="D40" s="25">
        <v>50</v>
      </c>
      <c r="E40" s="64">
        <f t="shared" ref="E40:E46" si="10">+D40*C40</f>
        <v>600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12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  <c r="AG43" s="65"/>
    </row>
    <row r="44" spans="1:36" x14ac:dyDescent="0.3">
      <c r="B44" s="76"/>
      <c r="C44" s="65"/>
      <c r="D44" s="25"/>
      <c r="E44" s="64">
        <f t="shared" si="10"/>
        <v>0</v>
      </c>
      <c r="AG44" s="65"/>
    </row>
    <row r="45" spans="1:36" x14ac:dyDescent="0.3">
      <c r="B45" s="76"/>
      <c r="C45" s="65"/>
      <c r="D45" s="25"/>
      <c r="E45" s="64">
        <f t="shared" si="10"/>
        <v>0</v>
      </c>
      <c r="AG45" s="65"/>
    </row>
    <row r="46" spans="1:36" x14ac:dyDescent="0.3">
      <c r="B46" s="12"/>
      <c r="C46" s="65"/>
      <c r="D46" s="25"/>
      <c r="E46" s="64">
        <f t="shared" si="10"/>
        <v>0</v>
      </c>
      <c r="AG46" s="65"/>
    </row>
    <row r="47" spans="1:36" x14ac:dyDescent="0.3">
      <c r="B47" s="13"/>
      <c r="C47" s="65"/>
      <c r="D47" s="67"/>
      <c r="E47" s="64">
        <f>SUM(E38:E46)*D47</f>
        <v>0</v>
      </c>
      <c r="AG47" s="65"/>
    </row>
    <row r="48" spans="1:36" x14ac:dyDescent="0.3">
      <c r="B48" s="13" t="s">
        <v>23</v>
      </c>
      <c r="D48" s="25">
        <v>0</v>
      </c>
      <c r="E48" s="64">
        <f>+D48*C48</f>
        <v>0</v>
      </c>
      <c r="AG48" s="65"/>
    </row>
    <row r="49" spans="1:35" x14ac:dyDescent="0.3">
      <c r="B49" s="304" t="s">
        <v>22</v>
      </c>
      <c r="C49" s="304"/>
      <c r="D49" s="304"/>
      <c r="E49" s="26">
        <f>SUM(E38:E48)</f>
        <v>600</v>
      </c>
      <c r="AG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G50" s="65"/>
      <c r="AH50" s="8"/>
      <c r="AI50" s="10"/>
    </row>
    <row r="51" spans="1:35" x14ac:dyDescent="0.3">
      <c r="B51" s="303" t="s">
        <v>12</v>
      </c>
      <c r="C51" s="303"/>
      <c r="D51" s="303"/>
      <c r="E51" s="303"/>
      <c r="AG51" s="6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G52" s="65"/>
    </row>
    <row r="53" spans="1:35" x14ac:dyDescent="0.3">
      <c r="A53" s="24"/>
      <c r="B53" s="12" t="s">
        <v>213</v>
      </c>
      <c r="C53" s="65">
        <v>1</v>
      </c>
      <c r="D53" s="25">
        <f>VLOOKUP(B53,Coster!$B$5:$D$43,3,FALSE)</f>
        <v>480</v>
      </c>
      <c r="E53" s="64">
        <f t="shared" ref="E53:E63" si="11">+D53*C53</f>
        <v>480</v>
      </c>
    </row>
    <row r="54" spans="1:35" x14ac:dyDescent="0.3">
      <c r="B54" s="156" t="s">
        <v>203</v>
      </c>
      <c r="C54" s="65">
        <v>2</v>
      </c>
      <c r="D54" s="25">
        <f>VLOOKUP(B54,Coster!$B$5:$D$43,3,FALSE)</f>
        <v>30</v>
      </c>
      <c r="E54" s="64">
        <f t="shared" si="11"/>
        <v>60</v>
      </c>
      <c r="AG54" s="65"/>
    </row>
    <row r="55" spans="1:35" x14ac:dyDescent="0.3">
      <c r="B55" s="156" t="s">
        <v>202</v>
      </c>
      <c r="C55" s="65">
        <v>1</v>
      </c>
      <c r="D55" s="25">
        <f>VLOOKUP(B55,Coster!$B$5:$D$43,3,FALSE)</f>
        <v>30</v>
      </c>
      <c r="E55" s="64">
        <f t="shared" si="11"/>
        <v>30</v>
      </c>
      <c r="AG55" s="66"/>
    </row>
    <row r="56" spans="1:35" x14ac:dyDescent="0.3">
      <c r="B56" s="12"/>
      <c r="C56" s="65"/>
      <c r="D56" s="25"/>
      <c r="E56" s="64">
        <f t="shared" si="11"/>
        <v>0</v>
      </c>
      <c r="AG56" s="66"/>
    </row>
    <row r="57" spans="1:35" x14ac:dyDescent="0.3">
      <c r="B57" s="12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2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12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>
        <v>8</v>
      </c>
      <c r="D63" s="25">
        <v>30</v>
      </c>
      <c r="E63" s="64">
        <f t="shared" si="11"/>
        <v>240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810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AJ81"/>
  <sheetViews>
    <sheetView zoomScaleNormal="100" workbookViewId="0">
      <selection activeCell="C14" sqref="C14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Riassunto!D14</f>
        <v>Chiesetta Solario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+Riassunto!L14</f>
        <v>505</v>
      </c>
      <c r="D2" s="306"/>
      <c r="E2" s="306"/>
    </row>
    <row r="3" spans="1:36" x14ac:dyDescent="0.3">
      <c r="A3" s="5"/>
      <c r="B3" s="5" t="s">
        <v>17</v>
      </c>
      <c r="C3" s="307">
        <f>Riassunto!I14</f>
        <v>34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67.32673267326733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0.05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0.05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63.960396039603957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32.299999999999997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12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12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2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2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/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36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" si="10">+D40*C40</f>
        <v>0</v>
      </c>
    </row>
    <row r="41" spans="1:36" x14ac:dyDescent="0.3">
      <c r="A41" s="24"/>
      <c r="B41" s="76"/>
      <c r="C41" s="65"/>
      <c r="D41" s="25"/>
      <c r="E41" s="64">
        <f t="shared" ref="E41:E46" si="11">+D41*C41</f>
        <v>0</v>
      </c>
    </row>
    <row r="42" spans="1:36" x14ac:dyDescent="0.3">
      <c r="A42" s="24"/>
      <c r="B42" s="76"/>
      <c r="C42" s="65"/>
      <c r="D42" s="25"/>
      <c r="E42" s="64">
        <f t="shared" si="11"/>
        <v>0</v>
      </c>
      <c r="AF42" s="65"/>
    </row>
    <row r="43" spans="1:36" x14ac:dyDescent="0.3">
      <c r="A43" s="24"/>
      <c r="B43" s="76"/>
      <c r="C43" s="65"/>
      <c r="D43" s="25"/>
      <c r="E43" s="64">
        <f t="shared" si="11"/>
        <v>0</v>
      </c>
      <c r="AF43" s="65"/>
    </row>
    <row r="44" spans="1:36" x14ac:dyDescent="0.3">
      <c r="B44" s="76"/>
      <c r="C44" s="65"/>
      <c r="D44" s="25"/>
      <c r="E44" s="64">
        <f t="shared" si="11"/>
        <v>0</v>
      </c>
      <c r="AF44" s="65"/>
    </row>
    <row r="45" spans="1:36" x14ac:dyDescent="0.3">
      <c r="B45" s="76"/>
      <c r="C45" s="65"/>
      <c r="D45" s="25"/>
      <c r="E45" s="64">
        <f t="shared" si="11"/>
        <v>0</v>
      </c>
      <c r="AF45" s="65"/>
    </row>
    <row r="46" spans="1:36" x14ac:dyDescent="0.3">
      <c r="B46" s="12" t="s">
        <v>53</v>
      </c>
      <c r="C46" s="65"/>
      <c r="D46" s="25">
        <v>30</v>
      </c>
      <c r="E46" s="64">
        <f t="shared" si="11"/>
        <v>0</v>
      </c>
      <c r="AF46" s="65"/>
    </row>
    <row r="47" spans="1:36" x14ac:dyDescent="0.3">
      <c r="B47" s="13"/>
      <c r="C47" s="65"/>
      <c r="D47" s="67"/>
      <c r="E47" s="64">
        <f>SUM(E38:E46)*D47</f>
        <v>0</v>
      </c>
      <c r="AF47" s="65"/>
    </row>
    <row r="48" spans="1:36" x14ac:dyDescent="0.3">
      <c r="B48" s="13" t="s">
        <v>23</v>
      </c>
      <c r="D48" s="25">
        <v>0</v>
      </c>
      <c r="E48" s="64">
        <f>+D48*C48</f>
        <v>0</v>
      </c>
      <c r="AF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F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F50" s="6"/>
      <c r="AH50" s="8"/>
      <c r="AI50" s="10"/>
    </row>
    <row r="51" spans="1:35" x14ac:dyDescent="0.3">
      <c r="B51" s="303" t="s">
        <v>12</v>
      </c>
      <c r="C51" s="303"/>
      <c r="D51" s="303"/>
      <c r="E51" s="303"/>
      <c r="AF51" s="65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55" t="s">
        <v>213</v>
      </c>
      <c r="C53" s="65">
        <v>1</v>
      </c>
      <c r="D53" s="25">
        <f>VLOOKUP(B53,Coster!$B$5:$D$43,3,FALSE)</f>
        <v>480</v>
      </c>
      <c r="E53" s="64">
        <f t="shared" ref="E53:E63" si="12">+D53*C53</f>
        <v>480</v>
      </c>
      <c r="AF53" s="65"/>
    </row>
    <row r="54" spans="1:35" x14ac:dyDescent="0.3">
      <c r="B54" s="156" t="s">
        <v>203</v>
      </c>
      <c r="C54" s="65">
        <v>1</v>
      </c>
      <c r="D54" s="25">
        <f>VLOOKUP(B54,Coster!$B$5:$D$43,3,FALSE)</f>
        <v>30</v>
      </c>
      <c r="E54" s="64">
        <f t="shared" si="12"/>
        <v>30</v>
      </c>
      <c r="AF54" s="66"/>
    </row>
    <row r="55" spans="1:35" x14ac:dyDescent="0.3">
      <c r="B55" s="156" t="s">
        <v>202</v>
      </c>
      <c r="C55" s="65">
        <v>1</v>
      </c>
      <c r="D55" s="25">
        <f>VLOOKUP(B55,Coster!$B$5:$D$43,3,FALSE)</f>
        <v>30</v>
      </c>
      <c r="E55" s="64">
        <f t="shared" si="12"/>
        <v>30</v>
      </c>
      <c r="AF55" s="66"/>
    </row>
    <row r="56" spans="1:35" x14ac:dyDescent="0.3">
      <c r="B56" s="155"/>
      <c r="C56" s="65"/>
      <c r="D56" s="25"/>
      <c r="E56" s="64">
        <f t="shared" si="12"/>
        <v>0</v>
      </c>
    </row>
    <row r="57" spans="1:35" x14ac:dyDescent="0.3">
      <c r="B57" s="155"/>
      <c r="C57" s="65"/>
      <c r="D57" s="25"/>
      <c r="E57" s="64">
        <f t="shared" si="12"/>
        <v>0</v>
      </c>
    </row>
    <row r="58" spans="1:35" x14ac:dyDescent="0.3">
      <c r="B58" s="13"/>
      <c r="C58" s="65"/>
      <c r="D58" s="25"/>
      <c r="E58" s="64">
        <f t="shared" si="12"/>
        <v>0</v>
      </c>
    </row>
    <row r="59" spans="1:35" x14ac:dyDescent="0.3">
      <c r="B59" s="155"/>
      <c r="C59" s="65"/>
      <c r="D59" s="25"/>
      <c r="E59" s="64">
        <f t="shared" si="12"/>
        <v>0</v>
      </c>
    </row>
    <row r="60" spans="1:35" x14ac:dyDescent="0.3">
      <c r="B60" s="155"/>
      <c r="C60" s="65"/>
      <c r="D60" s="25"/>
      <c r="E60" s="64">
        <f t="shared" si="12"/>
        <v>0</v>
      </c>
    </row>
    <row r="61" spans="1:35" x14ac:dyDescent="0.3">
      <c r="B61" s="155"/>
      <c r="C61" s="65"/>
      <c r="D61" s="25"/>
      <c r="E61" s="64">
        <f t="shared" si="12"/>
        <v>0</v>
      </c>
    </row>
    <row r="62" spans="1:35" x14ac:dyDescent="0.3">
      <c r="B62" s="155"/>
      <c r="C62" s="65"/>
      <c r="D62" s="25"/>
      <c r="E62" s="64">
        <f t="shared" si="12"/>
        <v>0</v>
      </c>
    </row>
    <row r="63" spans="1:35" x14ac:dyDescent="0.3">
      <c r="B63" s="155" t="s">
        <v>53</v>
      </c>
      <c r="C63" s="65">
        <v>8</v>
      </c>
      <c r="D63" s="25">
        <v>30</v>
      </c>
      <c r="E63" s="64">
        <f t="shared" si="12"/>
        <v>240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780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AO81"/>
  <sheetViews>
    <sheetView zoomScaleNormal="100" workbookViewId="0">
      <selection activeCell="B1" sqref="B1:E1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customWidth="1" collapsed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Riassunto!D15</f>
        <v>Scuola Materna S.M. Goretti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+Riassunto!L15</f>
        <v>2363.4</v>
      </c>
      <c r="D2" s="306"/>
      <c r="E2" s="306"/>
    </row>
    <row r="3" spans="1:36" x14ac:dyDescent="0.3">
      <c r="A3" s="5"/>
      <c r="B3" s="5" t="s">
        <v>17</v>
      </c>
      <c r="C3" s="307">
        <f>Riassunto!I15</f>
        <v>79</v>
      </c>
      <c r="D3" s="307"/>
      <c r="E3" t="s">
        <v>18</v>
      </c>
    </row>
    <row r="4" spans="1:36" x14ac:dyDescent="0.3">
      <c r="A4" s="5"/>
      <c r="B4" s="5" t="s">
        <v>86</v>
      </c>
      <c r="C4" s="308">
        <v>20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24.964034865024963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0.88</v>
      </c>
      <c r="D8" s="108">
        <v>1</v>
      </c>
      <c r="E8" s="109">
        <f>+D8-C8</f>
        <v>0.12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0.95</v>
      </c>
      <c r="D9" s="108">
        <v>0.96</v>
      </c>
      <c r="E9" s="109">
        <f t="shared" ref="E9:E12" si="0">+D9-C9</f>
        <v>1.0000000000000009E-2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0.93500000000000005</v>
      </c>
      <c r="D10" s="108">
        <v>0.93500000000000005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0.93</v>
      </c>
      <c r="D11" s="108">
        <v>0.93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0.72694380000000003</v>
      </c>
      <c r="D12" s="110">
        <f>+D8*D9*D10*D11</f>
        <v>0.83476800000000007</v>
      </c>
      <c r="E12" s="111">
        <f t="shared" si="0"/>
        <v>0.10782420000000004</v>
      </c>
      <c r="F12" s="16"/>
      <c r="G12" s="13" t="s">
        <v>48</v>
      </c>
      <c r="H12" s="77">
        <v>0.2</v>
      </c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>
        <v>0.8</v>
      </c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0.10782420000000004</v>
      </c>
      <c r="D14" s="115"/>
      <c r="E14" s="115"/>
      <c r="G14" s="8" t="s">
        <v>50</v>
      </c>
      <c r="H14" s="78">
        <f>+H13*H12</f>
        <v>0.16000000000000003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22.272307776931537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72.638372199999992</v>
      </c>
      <c r="D18" s="72">
        <f>+(D17*$C$2/1000)+$C$4</f>
        <v>79.085000000000008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 t="s">
        <v>247</v>
      </c>
      <c r="C22" s="65">
        <v>1</v>
      </c>
      <c r="D22" s="25">
        <f>+Riello!D5</f>
        <v>5400</v>
      </c>
      <c r="E22" s="64">
        <f>+D22*C22</f>
        <v>5400</v>
      </c>
      <c r="F22" s="64"/>
      <c r="G22" s="156" t="s">
        <v>457</v>
      </c>
      <c r="H22" s="65">
        <v>1</v>
      </c>
      <c r="I22" s="25">
        <f>Riello!L31</f>
        <v>2800</v>
      </c>
      <c r="J22" s="64">
        <f>+I22*H22</f>
        <v>2800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223</v>
      </c>
      <c r="AG22" s="65">
        <v>1</v>
      </c>
      <c r="AH22" s="25">
        <v>80</v>
      </c>
      <c r="AI22" s="64">
        <f>+AH22*AG22</f>
        <v>80</v>
      </c>
      <c r="AJ22" s="64"/>
    </row>
    <row r="23" spans="1:36" x14ac:dyDescent="0.3">
      <c r="B23" s="76" t="s">
        <v>248</v>
      </c>
      <c r="C23" s="65">
        <v>1</v>
      </c>
      <c r="D23" s="25">
        <v>750</v>
      </c>
      <c r="E23" s="64">
        <f t="shared" ref="E23:E32" si="3">+D23*C23</f>
        <v>750</v>
      </c>
      <c r="F23" s="64"/>
      <c r="G23" s="156" t="s">
        <v>281</v>
      </c>
      <c r="H23" s="65">
        <v>1</v>
      </c>
      <c r="I23" s="25">
        <v>1500</v>
      </c>
      <c r="J23" s="64">
        <f t="shared" ref="J23:J32" si="4">+I23*H23</f>
        <v>1500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 t="s">
        <v>254</v>
      </c>
      <c r="AG23" s="65">
        <v>1</v>
      </c>
      <c r="AH23" s="25">
        <v>10</v>
      </c>
      <c r="AI23" s="64">
        <f t="shared" ref="AI23:AI32" si="9">+AH23*AG23</f>
        <v>10</v>
      </c>
      <c r="AJ23" s="64"/>
    </row>
    <row r="24" spans="1:36" x14ac:dyDescent="0.3">
      <c r="B24" s="76" t="s">
        <v>249</v>
      </c>
      <c r="C24" s="65">
        <v>1</v>
      </c>
      <c r="D24" s="25">
        <v>1000</v>
      </c>
      <c r="E24" s="64">
        <f t="shared" si="3"/>
        <v>1000</v>
      </c>
      <c r="F24" s="64"/>
      <c r="G24" s="156" t="s">
        <v>459</v>
      </c>
      <c r="H24" s="65">
        <v>1</v>
      </c>
      <c r="I24" s="64">
        <f>Coster!D37</f>
        <v>650</v>
      </c>
      <c r="J24" s="64">
        <f t="shared" si="4"/>
        <v>650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255</v>
      </c>
      <c r="AG24" s="65">
        <v>3</v>
      </c>
      <c r="AH24" s="25">
        <v>10</v>
      </c>
      <c r="AI24" s="64">
        <f t="shared" si="9"/>
        <v>30</v>
      </c>
      <c r="AJ24" s="64"/>
    </row>
    <row r="25" spans="1:36" x14ac:dyDescent="0.3">
      <c r="B25" s="76" t="s">
        <v>250</v>
      </c>
      <c r="C25" s="65">
        <v>1</v>
      </c>
      <c r="D25" s="25">
        <v>2000</v>
      </c>
      <c r="E25" s="64">
        <f t="shared" si="3"/>
        <v>2000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 t="s">
        <v>224</v>
      </c>
      <c r="AG25" s="65">
        <v>1</v>
      </c>
      <c r="AH25" s="25">
        <v>80</v>
      </c>
      <c r="AI25" s="64">
        <f t="shared" si="9"/>
        <v>80</v>
      </c>
      <c r="AJ25" s="64"/>
    </row>
    <row r="26" spans="1:36" x14ac:dyDescent="0.3">
      <c r="B26" s="12" t="s">
        <v>171</v>
      </c>
      <c r="C26" s="65">
        <v>1</v>
      </c>
      <c r="D26" s="25">
        <v>500</v>
      </c>
      <c r="E26" s="64">
        <f t="shared" si="3"/>
        <v>500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 t="s">
        <v>291</v>
      </c>
      <c r="AG26" s="65">
        <v>1</v>
      </c>
      <c r="AH26" s="25">
        <v>100</v>
      </c>
      <c r="AI26" s="64">
        <f t="shared" si="9"/>
        <v>100</v>
      </c>
      <c r="AJ26" s="64"/>
    </row>
    <row r="27" spans="1:36" x14ac:dyDescent="0.3">
      <c r="B27" s="76" t="s">
        <v>197</v>
      </c>
      <c r="C27" s="65">
        <v>1</v>
      </c>
      <c r="D27" s="25">
        <v>800</v>
      </c>
      <c r="E27" s="64">
        <f t="shared" si="3"/>
        <v>800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 t="s">
        <v>292</v>
      </c>
      <c r="AG27" s="65">
        <v>1</v>
      </c>
      <c r="AH27" s="25">
        <v>100</v>
      </c>
      <c r="AI27" s="64">
        <f t="shared" si="9"/>
        <v>100</v>
      </c>
      <c r="AJ27" s="64"/>
    </row>
    <row r="28" spans="1:36" x14ac:dyDescent="0.3">
      <c r="B28" s="76" t="s">
        <v>284</v>
      </c>
      <c r="C28" s="65">
        <v>1</v>
      </c>
      <c r="D28" s="25">
        <v>500</v>
      </c>
      <c r="E28" s="64">
        <f t="shared" si="3"/>
        <v>500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 t="s">
        <v>271</v>
      </c>
      <c r="C29" s="65">
        <v>1</v>
      </c>
      <c r="D29" s="25">
        <v>2500</v>
      </c>
      <c r="E29" s="64">
        <f t="shared" si="3"/>
        <v>2500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 t="s">
        <v>438</v>
      </c>
      <c r="C30" s="65"/>
      <c r="D30" s="64">
        <f>+Riello!H38</f>
        <v>9000</v>
      </c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 t="s">
        <v>455</v>
      </c>
      <c r="C31" s="65">
        <v>1</v>
      </c>
      <c r="D31" s="64">
        <f>'Contatori di energia'!E10</f>
        <v>1300</v>
      </c>
      <c r="E31" s="64">
        <f t="shared" si="3"/>
        <v>1300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 t="s">
        <v>461</v>
      </c>
      <c r="C32" s="65">
        <v>1</v>
      </c>
      <c r="D32" s="64">
        <v>1500</v>
      </c>
      <c r="E32" s="64">
        <f t="shared" si="3"/>
        <v>1500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41" x14ac:dyDescent="0.3">
      <c r="B33" s="12" t="s">
        <v>53</v>
      </c>
      <c r="C33" s="65">
        <v>96</v>
      </c>
      <c r="D33" s="25">
        <v>30</v>
      </c>
      <c r="E33" s="64">
        <f>+D33*C33</f>
        <v>2880</v>
      </c>
      <c r="F33" s="64"/>
      <c r="G33" s="12" t="s">
        <v>53</v>
      </c>
      <c r="H33" s="65">
        <v>64</v>
      </c>
      <c r="I33" s="25">
        <v>30</v>
      </c>
      <c r="J33" s="64">
        <f>+I33*H33</f>
        <v>1920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41" x14ac:dyDescent="0.3">
      <c r="B34" s="13"/>
      <c r="C34" s="66"/>
      <c r="D34" s="67"/>
      <c r="E34" s="64">
        <f>SUM(E22:E33)*D34</f>
        <v>0</v>
      </c>
      <c r="F34" s="64"/>
      <c r="G34" s="13"/>
      <c r="H34" s="66"/>
      <c r="I34" s="67"/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  <c r="AO34" s="65"/>
    </row>
    <row r="35" spans="1:41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  <c r="AO35" s="65"/>
    </row>
    <row r="36" spans="1:41" x14ac:dyDescent="0.3">
      <c r="B36" s="304" t="s">
        <v>22</v>
      </c>
      <c r="C36" s="304"/>
      <c r="D36" s="304"/>
      <c r="E36" s="26">
        <f>SUM(E22:E35)</f>
        <v>19130</v>
      </c>
      <c r="F36" s="26"/>
      <c r="G36" s="304" t="s">
        <v>22</v>
      </c>
      <c r="H36" s="304"/>
      <c r="I36" s="304"/>
      <c r="J36" s="26">
        <f>SUM(J22:J35)</f>
        <v>6870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400</v>
      </c>
      <c r="AJ36" s="26"/>
      <c r="AO36" s="65"/>
    </row>
    <row r="37" spans="1:41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  <c r="AO37" s="65"/>
    </row>
    <row r="38" spans="1:41" x14ac:dyDescent="0.3">
      <c r="B38" s="311" t="s">
        <v>33</v>
      </c>
      <c r="C38" s="311"/>
      <c r="D38" s="311"/>
      <c r="E38" s="311"/>
      <c r="AO38" s="65"/>
    </row>
    <row r="39" spans="1:41" x14ac:dyDescent="0.3">
      <c r="B39" s="21" t="s">
        <v>0</v>
      </c>
      <c r="C39" s="21" t="s">
        <v>87</v>
      </c>
      <c r="D39" s="21" t="s">
        <v>88</v>
      </c>
      <c r="E39" s="21" t="s">
        <v>89</v>
      </c>
      <c r="AO39" s="65"/>
    </row>
    <row r="40" spans="1:41" x14ac:dyDescent="0.3">
      <c r="B40" s="76"/>
      <c r="C40" s="65"/>
      <c r="D40" s="25"/>
      <c r="E40" s="64">
        <f t="shared" ref="E40:E46" si="10">+D40*C40</f>
        <v>0</v>
      </c>
      <c r="AO40" s="65"/>
    </row>
    <row r="41" spans="1:41" x14ac:dyDescent="0.3">
      <c r="A41" s="24"/>
      <c r="B41" s="76"/>
      <c r="C41" s="65"/>
      <c r="D41" s="25"/>
      <c r="E41" s="64">
        <f t="shared" si="10"/>
        <v>0</v>
      </c>
      <c r="AO41" s="65"/>
    </row>
    <row r="42" spans="1:41" x14ac:dyDescent="0.3">
      <c r="A42" s="24"/>
      <c r="B42" s="76"/>
      <c r="C42" s="65"/>
      <c r="D42" s="25"/>
      <c r="E42" s="64">
        <f t="shared" si="10"/>
        <v>0</v>
      </c>
      <c r="AO42" s="6"/>
    </row>
    <row r="43" spans="1:41" x14ac:dyDescent="0.3">
      <c r="A43" s="24"/>
      <c r="B43" s="76"/>
      <c r="C43" s="65"/>
      <c r="D43" s="25"/>
      <c r="E43" s="64">
        <f t="shared" si="10"/>
        <v>0</v>
      </c>
      <c r="AO43" s="65"/>
    </row>
    <row r="44" spans="1:41" x14ac:dyDescent="0.3">
      <c r="B44" s="76"/>
      <c r="C44" s="65"/>
      <c r="D44" s="25"/>
      <c r="E44" s="64">
        <f t="shared" si="10"/>
        <v>0</v>
      </c>
    </row>
    <row r="45" spans="1:41" x14ac:dyDescent="0.3">
      <c r="B45" s="76"/>
      <c r="C45" s="65"/>
      <c r="D45" s="25"/>
      <c r="E45" s="64">
        <f t="shared" si="10"/>
        <v>0</v>
      </c>
      <c r="AO45" s="65"/>
    </row>
    <row r="46" spans="1:41" x14ac:dyDescent="0.3">
      <c r="B46" s="12" t="s">
        <v>53</v>
      </c>
      <c r="C46" s="65">
        <v>0</v>
      </c>
      <c r="D46" s="25">
        <v>30</v>
      </c>
      <c r="E46" s="64">
        <f t="shared" si="10"/>
        <v>0</v>
      </c>
      <c r="AO46" s="66"/>
    </row>
    <row r="47" spans="1:41" x14ac:dyDescent="0.3">
      <c r="B47" s="13" t="s">
        <v>90</v>
      </c>
      <c r="C47" s="65"/>
      <c r="D47" s="67">
        <v>0.05</v>
      </c>
      <c r="E47" s="64">
        <f>SUM(E38:E46)*D47</f>
        <v>0</v>
      </c>
      <c r="AO47" s="66"/>
    </row>
    <row r="48" spans="1:41" x14ac:dyDescent="0.3">
      <c r="B48" s="13" t="s">
        <v>23</v>
      </c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76" t="s">
        <v>201</v>
      </c>
      <c r="C53" s="65">
        <v>1</v>
      </c>
      <c r="D53" s="25">
        <f>VLOOKUP(B53,Coster!$B$5:$D$43,3,FALSE)</f>
        <v>370</v>
      </c>
      <c r="E53" s="64">
        <f t="shared" ref="E53:E63" si="11">+D53*C53</f>
        <v>370</v>
      </c>
      <c r="G53" t="s">
        <v>290</v>
      </c>
    </row>
    <row r="54" spans="1:35" x14ac:dyDescent="0.3">
      <c r="B54" s="76" t="s">
        <v>206</v>
      </c>
      <c r="C54" s="65">
        <v>1</v>
      </c>
      <c r="D54" s="25">
        <f>VLOOKUP(B54,Coster!$B$5:$D$43,3,FALSE)</f>
        <v>390</v>
      </c>
      <c r="E54" s="64">
        <f t="shared" ref="E54:E59" si="12">+D54*C54</f>
        <v>390</v>
      </c>
    </row>
    <row r="55" spans="1:35" x14ac:dyDescent="0.3">
      <c r="B55" s="76" t="s">
        <v>221</v>
      </c>
      <c r="C55" s="65">
        <v>1</v>
      </c>
      <c r="D55" s="25">
        <f>VLOOKUP(B55,Coster!$B$5:$D$43,3,FALSE)</f>
        <v>120</v>
      </c>
      <c r="E55" s="64">
        <f t="shared" si="12"/>
        <v>120</v>
      </c>
    </row>
    <row r="56" spans="1:35" x14ac:dyDescent="0.3">
      <c r="B56" s="76" t="s">
        <v>204</v>
      </c>
      <c r="C56" s="65">
        <v>2</v>
      </c>
      <c r="D56" s="25">
        <f>VLOOKUP(B56,Coster!$B$5:$D$43,3,FALSE)</f>
        <v>40</v>
      </c>
      <c r="E56" s="64">
        <f t="shared" si="12"/>
        <v>80</v>
      </c>
    </row>
    <row r="57" spans="1:35" x14ac:dyDescent="0.3">
      <c r="B57" s="76" t="s">
        <v>205</v>
      </c>
      <c r="C57" s="65">
        <v>1</v>
      </c>
      <c r="D57" s="25">
        <f>VLOOKUP(B57,Coster!$B$5:$D$43,3,FALSE)</f>
        <v>30</v>
      </c>
      <c r="E57" s="64">
        <f t="shared" si="12"/>
        <v>30</v>
      </c>
    </row>
    <row r="58" spans="1:35" x14ac:dyDescent="0.3">
      <c r="B58" s="76" t="s">
        <v>203</v>
      </c>
      <c r="C58" s="65">
        <v>1</v>
      </c>
      <c r="D58" s="25">
        <f>VLOOKUP(B58,Coster!$B$5:$D$43,3,FALSE)</f>
        <v>30</v>
      </c>
      <c r="E58" s="64">
        <f t="shared" si="12"/>
        <v>30</v>
      </c>
    </row>
    <row r="59" spans="1:35" x14ac:dyDescent="0.3">
      <c r="B59" s="76" t="s">
        <v>202</v>
      </c>
      <c r="C59" s="65">
        <v>1</v>
      </c>
      <c r="D59" s="25">
        <f>VLOOKUP(B59,Coster!$B$5:$D$43,3,FALSE)</f>
        <v>30</v>
      </c>
      <c r="E59" s="64">
        <f t="shared" si="12"/>
        <v>30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76"/>
      <c r="D61" s="25"/>
      <c r="E61" s="64">
        <f t="shared" si="11"/>
        <v>0</v>
      </c>
    </row>
    <row r="62" spans="1:35" x14ac:dyDescent="0.3">
      <c r="B62" s="12" t="s">
        <v>273</v>
      </c>
      <c r="C62" s="65">
        <v>1</v>
      </c>
      <c r="D62" s="25">
        <v>500</v>
      </c>
      <c r="E62" s="64">
        <f t="shared" si="11"/>
        <v>500</v>
      </c>
    </row>
    <row r="63" spans="1:35" x14ac:dyDescent="0.3">
      <c r="B63" s="12" t="s">
        <v>53</v>
      </c>
      <c r="C63" s="65">
        <f>3*2*8</f>
        <v>48</v>
      </c>
      <c r="D63" s="25">
        <v>30</v>
      </c>
      <c r="E63" s="64">
        <f t="shared" si="11"/>
        <v>1440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2990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AN81"/>
  <sheetViews>
    <sheetView zoomScaleNormal="100" workbookViewId="0">
      <selection activeCell="D11" sqref="D11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Riassunto!D16</f>
        <v>Scuola Materna S.M. Carmine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+Riassunto!L16</f>
        <v>4036.7</v>
      </c>
      <c r="D2" s="306"/>
      <c r="E2" s="306"/>
    </row>
    <row r="3" spans="1:36" x14ac:dyDescent="0.3">
      <c r="A3" s="5"/>
      <c r="B3" s="5" t="s">
        <v>17</v>
      </c>
      <c r="C3" s="307">
        <f>Riassunto!I16</f>
        <v>103.3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25.590209824856938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0.98</v>
      </c>
      <c r="D8" s="108">
        <v>1</v>
      </c>
      <c r="E8" s="109">
        <f>+D8-C8</f>
        <v>2.0000000000000018E-2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0.95</v>
      </c>
      <c r="D9" s="108">
        <v>0.96</v>
      </c>
      <c r="E9" s="109">
        <f t="shared" ref="E9:E12" si="0">+D9-C9</f>
        <v>1.0000000000000009E-2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0.93500000000000005</v>
      </c>
      <c r="D10" s="108">
        <v>0.93500000000000005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0.95</v>
      </c>
      <c r="D11" s="108">
        <v>0.95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0.82696074999999991</v>
      </c>
      <c r="D12" s="110">
        <f>+D8*D9*D10*D11</f>
        <v>0.85272000000000003</v>
      </c>
      <c r="E12" s="111">
        <f t="shared" si="0"/>
        <v>2.5759250000000122E-2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2.5759250000000122E-2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24.93102521242599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100.63906947499999</v>
      </c>
      <c r="D18" s="72">
        <f>+(D17*$C$2/1000)+$C$4</f>
        <v>100.9175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225</v>
      </c>
      <c r="AG22" s="65">
        <v>3</v>
      </c>
      <c r="AH22" s="25">
        <v>10</v>
      </c>
      <c r="AI22" s="64">
        <f>+AH22*AG22</f>
        <v>30</v>
      </c>
      <c r="AJ22" s="64"/>
    </row>
    <row r="23" spans="1:36" x14ac:dyDescent="0.3">
      <c r="B23" s="76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 t="s">
        <v>298</v>
      </c>
      <c r="AG23" s="65">
        <v>2</v>
      </c>
      <c r="AH23" s="25">
        <v>50</v>
      </c>
      <c r="AI23" s="64">
        <f t="shared" ref="AI23:AI32" si="9">+AH23*AG23</f>
        <v>100</v>
      </c>
      <c r="AJ23" s="64"/>
    </row>
    <row r="24" spans="1:36" x14ac:dyDescent="0.3">
      <c r="B24" s="76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299</v>
      </c>
      <c r="AG24" s="65">
        <v>2</v>
      </c>
      <c r="AH24" s="25">
        <v>100</v>
      </c>
      <c r="AI24" s="64">
        <f t="shared" si="9"/>
        <v>200</v>
      </c>
      <c r="AJ24" s="64"/>
    </row>
    <row r="25" spans="1:36" x14ac:dyDescent="0.3">
      <c r="B25" s="76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40" x14ac:dyDescent="0.3">
      <c r="B33" s="12" t="s">
        <v>53</v>
      </c>
      <c r="C33" s="65">
        <v>0</v>
      </c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40" x14ac:dyDescent="0.3">
      <c r="B34" s="13" t="s">
        <v>90</v>
      </c>
      <c r="C34" s="66">
        <v>1</v>
      </c>
      <c r="D34" s="67">
        <v>0.08</v>
      </c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40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40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330</v>
      </c>
      <c r="AJ36" s="26"/>
    </row>
    <row r="37" spans="1:40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40" x14ac:dyDescent="0.3">
      <c r="B38" s="311" t="s">
        <v>33</v>
      </c>
      <c r="C38" s="311"/>
      <c r="D38" s="311"/>
      <c r="E38" s="311"/>
      <c r="AN38" s="65"/>
    </row>
    <row r="39" spans="1:40" x14ac:dyDescent="0.3">
      <c r="B39" s="21" t="s">
        <v>0</v>
      </c>
      <c r="C39" s="21" t="s">
        <v>87</v>
      </c>
      <c r="D39" s="21" t="s">
        <v>88</v>
      </c>
      <c r="E39" s="21" t="s">
        <v>89</v>
      </c>
      <c r="AN39" s="65"/>
    </row>
    <row r="40" spans="1:40" x14ac:dyDescent="0.3">
      <c r="B40" s="76"/>
      <c r="C40" s="65"/>
      <c r="D40" s="25"/>
      <c r="E40" s="64">
        <f t="shared" ref="E40:E46" si="10">+D40*C40</f>
        <v>0</v>
      </c>
      <c r="AN40" s="65"/>
    </row>
    <row r="41" spans="1:40" x14ac:dyDescent="0.3">
      <c r="A41" s="24"/>
      <c r="B41" s="76"/>
      <c r="C41" s="65"/>
      <c r="D41" s="25"/>
      <c r="E41" s="64">
        <f t="shared" si="10"/>
        <v>0</v>
      </c>
      <c r="AN41" s="65"/>
    </row>
    <row r="42" spans="1:40" x14ac:dyDescent="0.3">
      <c r="A42" s="24"/>
      <c r="B42" s="76"/>
      <c r="C42" s="65"/>
      <c r="D42" s="25"/>
      <c r="E42" s="64">
        <f t="shared" si="10"/>
        <v>0</v>
      </c>
      <c r="AN42" s="65"/>
    </row>
    <row r="43" spans="1:40" x14ac:dyDescent="0.3">
      <c r="A43" s="24"/>
      <c r="B43" s="76"/>
      <c r="C43" s="65"/>
      <c r="D43" s="25"/>
      <c r="E43" s="64">
        <f t="shared" si="10"/>
        <v>0</v>
      </c>
      <c r="AN43" s="65"/>
    </row>
    <row r="44" spans="1:40" x14ac:dyDescent="0.3">
      <c r="B44" s="76"/>
      <c r="C44" s="65"/>
      <c r="D44" s="25"/>
      <c r="E44" s="64">
        <f t="shared" si="10"/>
        <v>0</v>
      </c>
      <c r="AN44" s="65"/>
    </row>
    <row r="45" spans="1:40" x14ac:dyDescent="0.3">
      <c r="B45" s="76"/>
      <c r="C45" s="65"/>
      <c r="D45" s="25"/>
      <c r="E45" s="64">
        <f t="shared" si="10"/>
        <v>0</v>
      </c>
      <c r="AN45" s="65"/>
    </row>
    <row r="46" spans="1:40" x14ac:dyDescent="0.3">
      <c r="B46" s="12" t="s">
        <v>53</v>
      </c>
      <c r="C46" s="65"/>
      <c r="D46" s="25">
        <v>30</v>
      </c>
      <c r="E46" s="64">
        <f t="shared" si="10"/>
        <v>0</v>
      </c>
      <c r="AN46" s="6"/>
    </row>
    <row r="47" spans="1:40" x14ac:dyDescent="0.3">
      <c r="B47" s="13" t="s">
        <v>90</v>
      </c>
      <c r="C47" s="65"/>
      <c r="D47" s="67">
        <v>0.05</v>
      </c>
      <c r="E47" s="64">
        <f>SUM(E38:E46)*D47</f>
        <v>0</v>
      </c>
      <c r="AN47" s="65"/>
    </row>
    <row r="48" spans="1:40" x14ac:dyDescent="0.3">
      <c r="B48" s="13" t="s">
        <v>23</v>
      </c>
      <c r="D48" s="25">
        <v>0</v>
      </c>
      <c r="E48" s="64">
        <f>+D48*C48</f>
        <v>0</v>
      </c>
    </row>
    <row r="49" spans="1:40" x14ac:dyDescent="0.3">
      <c r="B49" s="304" t="s">
        <v>22</v>
      </c>
      <c r="C49" s="304"/>
      <c r="D49" s="304"/>
      <c r="E49" s="26">
        <f>SUM(E38:E48)</f>
        <v>0</v>
      </c>
      <c r="AN49" s="65"/>
    </row>
    <row r="50" spans="1:40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  <c r="AN50" s="66"/>
    </row>
    <row r="51" spans="1:40" x14ac:dyDescent="0.3">
      <c r="B51" s="303" t="s">
        <v>12</v>
      </c>
      <c r="C51" s="303"/>
      <c r="D51" s="303"/>
      <c r="E51" s="303"/>
      <c r="AN51" s="66"/>
    </row>
    <row r="52" spans="1:40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40" x14ac:dyDescent="0.3">
      <c r="A53" s="24"/>
      <c r="B53" s="76" t="s">
        <v>201</v>
      </c>
      <c r="C53" s="65">
        <v>1</v>
      </c>
      <c r="D53" s="25">
        <f>VLOOKUP(B53,Coster!$B$5:$D$43,3,FALSE)</f>
        <v>370</v>
      </c>
      <c r="E53" s="64">
        <f t="shared" ref="E53:E63" si="11">+D53*C53</f>
        <v>370</v>
      </c>
    </row>
    <row r="54" spans="1:40" x14ac:dyDescent="0.3">
      <c r="B54" s="76" t="s">
        <v>200</v>
      </c>
      <c r="C54" s="65">
        <v>1</v>
      </c>
      <c r="D54" s="25">
        <f>VLOOKUP(B54,Coster!$B$5:$D$43,3,FALSE)</f>
        <v>630</v>
      </c>
      <c r="E54" s="64">
        <f t="shared" si="11"/>
        <v>630</v>
      </c>
    </row>
    <row r="55" spans="1:40" x14ac:dyDescent="0.3">
      <c r="B55" s="76" t="s">
        <v>207</v>
      </c>
      <c r="C55" s="65">
        <v>1</v>
      </c>
      <c r="D55" s="25">
        <f>VLOOKUP(B55,Coster!$B$5:$D$43,3,FALSE)</f>
        <v>550</v>
      </c>
      <c r="E55" s="64">
        <f t="shared" si="11"/>
        <v>550</v>
      </c>
    </row>
    <row r="56" spans="1:40" x14ac:dyDescent="0.3">
      <c r="B56" s="76" t="s">
        <v>202</v>
      </c>
      <c r="C56" s="65">
        <v>1</v>
      </c>
      <c r="D56" s="25">
        <f>VLOOKUP(B56,Coster!$B$5:$D$43,3,FALSE)</f>
        <v>30</v>
      </c>
      <c r="E56" s="64">
        <f t="shared" si="11"/>
        <v>30</v>
      </c>
    </row>
    <row r="57" spans="1:40" x14ac:dyDescent="0.3">
      <c r="B57" s="76" t="s">
        <v>203</v>
      </c>
      <c r="C57" s="65">
        <v>2</v>
      </c>
      <c r="D57" s="25">
        <f>VLOOKUP(B57,Coster!$B$5:$D$43,3,FALSE)</f>
        <v>30</v>
      </c>
      <c r="E57" s="64">
        <f t="shared" si="11"/>
        <v>60</v>
      </c>
    </row>
    <row r="58" spans="1:40" x14ac:dyDescent="0.3">
      <c r="B58" s="76" t="s">
        <v>204</v>
      </c>
      <c r="C58" s="65">
        <v>5</v>
      </c>
      <c r="D58" s="25">
        <f>VLOOKUP(B58,Coster!$B$5:$D$43,3,FALSE)</f>
        <v>40</v>
      </c>
      <c r="E58" s="64">
        <f t="shared" si="11"/>
        <v>200</v>
      </c>
    </row>
    <row r="59" spans="1:40" x14ac:dyDescent="0.3">
      <c r="B59" s="76"/>
      <c r="C59" s="65"/>
      <c r="D59" s="25"/>
      <c r="E59" s="64">
        <f t="shared" si="11"/>
        <v>0</v>
      </c>
    </row>
    <row r="60" spans="1:40" x14ac:dyDescent="0.3">
      <c r="B60" s="12"/>
      <c r="C60" s="65"/>
      <c r="D60" s="25"/>
      <c r="E60" s="64">
        <f t="shared" si="11"/>
        <v>0</v>
      </c>
    </row>
    <row r="61" spans="1:40" x14ac:dyDescent="0.3">
      <c r="B61" s="76"/>
      <c r="C61" s="147"/>
      <c r="D61" s="25"/>
      <c r="E61" s="64">
        <f t="shared" si="11"/>
        <v>0</v>
      </c>
    </row>
    <row r="62" spans="1:40" x14ac:dyDescent="0.3">
      <c r="B62" s="12" t="s">
        <v>300</v>
      </c>
      <c r="C62" s="65">
        <v>1</v>
      </c>
      <c r="D62" s="25">
        <v>500</v>
      </c>
      <c r="E62" s="64">
        <f t="shared" si="11"/>
        <v>500</v>
      </c>
    </row>
    <row r="63" spans="1:40" x14ac:dyDescent="0.3">
      <c r="B63" s="12" t="s">
        <v>53</v>
      </c>
      <c r="C63" s="157">
        <f>2*3*8</f>
        <v>48</v>
      </c>
      <c r="D63" s="25">
        <v>30</v>
      </c>
      <c r="E63" s="64">
        <f t="shared" si="11"/>
        <v>1440</v>
      </c>
    </row>
    <row r="64" spans="1:40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3780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AO81"/>
  <sheetViews>
    <sheetView zoomScaleNormal="100" workbookViewId="0">
      <selection activeCell="B1" sqref="B1:E1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customWidth="1" collapsed="1"/>
    <col min="13" max="15" width="12.6640625" customWidth="1"/>
    <col min="16" max="16" width="1.6640625" customWidth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Riassunto!D17</f>
        <v>Scuola Elementare V.Emanuele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+Riassunto!L17</f>
        <v>9330</v>
      </c>
      <c r="D2" s="306"/>
      <c r="E2" s="306"/>
    </row>
    <row r="3" spans="1:36" x14ac:dyDescent="0.3">
      <c r="A3" s="5"/>
      <c r="B3" s="5" t="s">
        <v>17</v>
      </c>
      <c r="C3" s="307">
        <f>Riassunto!I17</f>
        <v>318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34.083601286173632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0.86</v>
      </c>
      <c r="D8" s="108">
        <v>1</v>
      </c>
      <c r="E8" s="109">
        <f>+D8-C8</f>
        <v>0.14000000000000001</v>
      </c>
      <c r="F8" s="22"/>
      <c r="G8" s="22"/>
      <c r="H8" s="22"/>
      <c r="I8" s="22"/>
      <c r="J8" s="22"/>
      <c r="K8" s="22"/>
      <c r="L8" s="81" t="s">
        <v>98</v>
      </c>
      <c r="M8" s="82">
        <v>735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0.94</v>
      </c>
      <c r="D9" s="108">
        <v>0.96</v>
      </c>
      <c r="E9" s="109">
        <f t="shared" ref="E9:E12" si="0">+D9-C9</f>
        <v>2.0000000000000018E-2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0.92</v>
      </c>
      <c r="D10" s="108">
        <v>0.92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1.5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0.93</v>
      </c>
      <c r="D11" s="108">
        <v>0.93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0.2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0.69166704000000001</v>
      </c>
      <c r="D12" s="110">
        <f>+D8*D9*D10*D11</f>
        <v>0.821376</v>
      </c>
      <c r="E12" s="111">
        <f t="shared" si="0"/>
        <v>0.12970895999999998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0.12970895999999998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0.21233333333333329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29.662652810289387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276.75255071999999</v>
      </c>
      <c r="D18" s="72">
        <f>+(D17*$C$2/1000)+$C$4</f>
        <v>233.25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 t="s">
        <v>171</v>
      </c>
      <c r="C22" s="65">
        <v>1</v>
      </c>
      <c r="D22" s="25">
        <v>500</v>
      </c>
      <c r="E22" s="64">
        <f>+D22*C22</f>
        <v>500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>
        <v>500</v>
      </c>
      <c r="O22" s="64">
        <f>+N22*M22</f>
        <v>500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304</v>
      </c>
      <c r="AG22" s="65">
        <v>30</v>
      </c>
      <c r="AH22" s="25">
        <v>25</v>
      </c>
      <c r="AI22" s="64">
        <f>+AH22*AG22</f>
        <v>750</v>
      </c>
      <c r="AJ22" s="64"/>
    </row>
    <row r="23" spans="1:36" x14ac:dyDescent="0.3">
      <c r="B23" s="76" t="s">
        <v>302</v>
      </c>
      <c r="C23" s="65">
        <v>1</v>
      </c>
      <c r="D23" s="25">
        <v>1500</v>
      </c>
      <c r="E23" s="64">
        <f t="shared" ref="E23:E32" si="3">+D23*C23</f>
        <v>1500</v>
      </c>
      <c r="F23" s="64"/>
      <c r="G23" s="76"/>
      <c r="H23" s="65"/>
      <c r="I23" s="25"/>
      <c r="J23" s="64">
        <f t="shared" ref="J23:J32" si="4">+I23*H23</f>
        <v>0</v>
      </c>
      <c r="K23" s="64"/>
      <c r="L23" s="76" t="s">
        <v>428</v>
      </c>
      <c r="M23" s="125">
        <f>+M8*(1-M9)</f>
        <v>735</v>
      </c>
      <c r="N23" s="17">
        <v>40</v>
      </c>
      <c r="O23" s="64">
        <f t="shared" ref="O23:O32" si="5">+N23*M23</f>
        <v>29400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 t="s">
        <v>225</v>
      </c>
      <c r="AG23" s="65">
        <v>3</v>
      </c>
      <c r="AH23" s="25">
        <v>10</v>
      </c>
      <c r="AI23" s="64">
        <f t="shared" ref="AI23:AI32" si="9">+AH23*AG23</f>
        <v>30</v>
      </c>
      <c r="AJ23" s="64"/>
    </row>
    <row r="24" spans="1:36" x14ac:dyDescent="0.3">
      <c r="B24" s="76" t="s">
        <v>303</v>
      </c>
      <c r="C24" s="65">
        <v>1</v>
      </c>
      <c r="D24" s="25">
        <v>1500</v>
      </c>
      <c r="E24" s="64">
        <f t="shared" si="3"/>
        <v>1500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223</v>
      </c>
      <c r="AG24" s="65">
        <v>1</v>
      </c>
      <c r="AH24" s="25">
        <v>80</v>
      </c>
      <c r="AI24" s="64">
        <f>+AH24*AG24</f>
        <v>80</v>
      </c>
      <c r="AJ24" s="64"/>
    </row>
    <row r="25" spans="1:36" x14ac:dyDescent="0.3">
      <c r="B25" s="76" t="s">
        <v>309</v>
      </c>
      <c r="C25" s="65">
        <v>1</v>
      </c>
      <c r="D25" s="25">
        <f>+Riello!L5</f>
        <v>13800</v>
      </c>
      <c r="E25" s="64">
        <f t="shared" si="3"/>
        <v>13800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 t="s">
        <v>316</v>
      </c>
      <c r="AG25" s="65">
        <v>1</v>
      </c>
      <c r="AH25" s="25">
        <v>150</v>
      </c>
      <c r="AI25" s="64">
        <f t="shared" ref="AI25:AI29" si="10">+AH25*AG25</f>
        <v>150</v>
      </c>
      <c r="AJ25" s="64"/>
    </row>
    <row r="26" spans="1:36" x14ac:dyDescent="0.3">
      <c r="B26" s="76" t="s">
        <v>310</v>
      </c>
      <c r="C26" s="65">
        <v>1</v>
      </c>
      <c r="D26" s="25">
        <v>1000</v>
      </c>
      <c r="E26" s="64">
        <f t="shared" si="3"/>
        <v>1000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10"/>
        <v>0</v>
      </c>
      <c r="AJ26" s="64"/>
    </row>
    <row r="27" spans="1:36" x14ac:dyDescent="0.3">
      <c r="B27" s="76" t="s">
        <v>311</v>
      </c>
      <c r="C27" s="65">
        <v>1</v>
      </c>
      <c r="D27" s="25">
        <v>1500</v>
      </c>
      <c r="E27" s="64">
        <f t="shared" si="3"/>
        <v>1500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10"/>
        <v>0</v>
      </c>
      <c r="AJ27" s="64"/>
    </row>
    <row r="28" spans="1:36" x14ac:dyDescent="0.3">
      <c r="B28" s="76" t="s">
        <v>312</v>
      </c>
      <c r="C28" s="65">
        <v>1</v>
      </c>
      <c r="D28" s="25">
        <f>+Grundfos!F22</f>
        <v>1350</v>
      </c>
      <c r="E28" s="64">
        <f t="shared" si="3"/>
        <v>1350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10"/>
        <v>0</v>
      </c>
      <c r="AJ28" s="64"/>
    </row>
    <row r="29" spans="1:36" x14ac:dyDescent="0.3">
      <c r="B29" s="76" t="s">
        <v>313</v>
      </c>
      <c r="C29" s="65">
        <v>1</v>
      </c>
      <c r="D29" s="25">
        <v>1500</v>
      </c>
      <c r="E29" s="64">
        <f t="shared" si="3"/>
        <v>1500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10"/>
        <v>0</v>
      </c>
      <c r="AJ29" s="64"/>
    </row>
    <row r="30" spans="1:36" x14ac:dyDescent="0.3">
      <c r="B30" s="76" t="s">
        <v>314</v>
      </c>
      <c r="C30" s="65">
        <v>1</v>
      </c>
      <c r="D30" s="25">
        <v>600</v>
      </c>
      <c r="E30" s="64">
        <f t="shared" si="3"/>
        <v>600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 t="s">
        <v>315</v>
      </c>
      <c r="C31" s="65">
        <v>1</v>
      </c>
      <c r="D31" s="25">
        <v>1000</v>
      </c>
      <c r="E31" s="64">
        <f t="shared" si="3"/>
        <v>1000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 t="s">
        <v>462</v>
      </c>
      <c r="C32" s="65">
        <v>1</v>
      </c>
      <c r="D32" s="64">
        <f>'Contatori di energia'!E12</f>
        <v>1900</v>
      </c>
      <c r="E32" s="64">
        <f t="shared" si="3"/>
        <v>1900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41" x14ac:dyDescent="0.3">
      <c r="B33" s="12" t="s">
        <v>53</v>
      </c>
      <c r="C33" s="65">
        <v>96</v>
      </c>
      <c r="D33" s="25">
        <v>30</v>
      </c>
      <c r="E33" s="64">
        <f>+D33*C33</f>
        <v>2880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41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/>
      <c r="M34" s="66"/>
      <c r="N34" s="67"/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/>
      <c r="AH34" s="67"/>
      <c r="AI34" s="64">
        <f>SUM(AI22:AI33)*AH34</f>
        <v>0</v>
      </c>
      <c r="AJ34" s="64"/>
    </row>
    <row r="35" spans="1:41" x14ac:dyDescent="0.3">
      <c r="B35" s="13" t="s">
        <v>23</v>
      </c>
      <c r="C35" s="66">
        <v>1</v>
      </c>
      <c r="D35" s="25">
        <v>500</v>
      </c>
      <c r="E35" s="64">
        <f>+D35*C35</f>
        <v>500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500</v>
      </c>
      <c r="O35" s="64">
        <f>+N35*M35</f>
        <v>500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41" x14ac:dyDescent="0.3">
      <c r="B36" s="304" t="s">
        <v>22</v>
      </c>
      <c r="C36" s="304"/>
      <c r="D36" s="304"/>
      <c r="E36" s="26">
        <f>SUM(E22:E35)</f>
        <v>29530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30400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1010</v>
      </c>
      <c r="AJ36" s="26"/>
      <c r="AO36" s="65"/>
    </row>
    <row r="37" spans="1:41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  <c r="AO37" s="65"/>
    </row>
    <row r="38" spans="1:41" x14ac:dyDescent="0.3">
      <c r="B38" s="311" t="s">
        <v>33</v>
      </c>
      <c r="C38" s="311"/>
      <c r="D38" s="311"/>
      <c r="E38" s="311"/>
      <c r="AO38" s="65"/>
    </row>
    <row r="39" spans="1:41" x14ac:dyDescent="0.3">
      <c r="B39" s="21" t="s">
        <v>0</v>
      </c>
      <c r="C39" s="21" t="s">
        <v>87</v>
      </c>
      <c r="D39" s="21" t="s">
        <v>88</v>
      </c>
      <c r="E39" s="21" t="s">
        <v>89</v>
      </c>
      <c r="AO39" s="65"/>
    </row>
    <row r="40" spans="1:41" x14ac:dyDescent="0.3">
      <c r="B40" s="76"/>
      <c r="C40" s="65"/>
      <c r="D40" s="25"/>
      <c r="E40" s="64">
        <f t="shared" ref="E40:E46" si="11">+D40*C40</f>
        <v>0</v>
      </c>
      <c r="AO40" s="65"/>
    </row>
    <row r="41" spans="1:41" x14ac:dyDescent="0.3">
      <c r="A41" s="24"/>
      <c r="B41" s="76"/>
      <c r="C41" s="65"/>
      <c r="D41" s="25"/>
      <c r="E41" s="64">
        <f t="shared" si="11"/>
        <v>0</v>
      </c>
      <c r="AO41" s="65"/>
    </row>
    <row r="42" spans="1:41" x14ac:dyDescent="0.3">
      <c r="A42" s="24"/>
      <c r="B42" s="76"/>
      <c r="C42" s="65"/>
      <c r="D42" s="25"/>
      <c r="E42" s="64">
        <f t="shared" si="11"/>
        <v>0</v>
      </c>
      <c r="AO42" s="65"/>
    </row>
    <row r="43" spans="1:41" x14ac:dyDescent="0.3">
      <c r="A43" s="24"/>
      <c r="B43" s="76"/>
      <c r="C43" s="65"/>
      <c r="D43" s="25"/>
      <c r="E43" s="64">
        <f t="shared" si="11"/>
        <v>0</v>
      </c>
      <c r="AO43" s="65"/>
    </row>
    <row r="44" spans="1:41" x14ac:dyDescent="0.3">
      <c r="B44" s="76"/>
      <c r="C44" s="65"/>
      <c r="D44" s="25"/>
      <c r="E44" s="64">
        <f t="shared" si="11"/>
        <v>0</v>
      </c>
      <c r="AO44" s="6"/>
    </row>
    <row r="45" spans="1:41" x14ac:dyDescent="0.3">
      <c r="B45" s="76"/>
      <c r="C45" s="65"/>
      <c r="D45" s="25"/>
      <c r="E45" s="64">
        <f t="shared" si="11"/>
        <v>0</v>
      </c>
      <c r="AO45" s="65"/>
    </row>
    <row r="46" spans="1:41" x14ac:dyDescent="0.3">
      <c r="B46" s="12" t="s">
        <v>53</v>
      </c>
      <c r="C46" s="65"/>
      <c r="D46" s="25">
        <v>30</v>
      </c>
      <c r="E46" s="64">
        <f t="shared" si="11"/>
        <v>0</v>
      </c>
    </row>
    <row r="47" spans="1:41" x14ac:dyDescent="0.3">
      <c r="B47" s="13" t="s">
        <v>90</v>
      </c>
      <c r="C47" s="65"/>
      <c r="D47" s="67">
        <v>0.05</v>
      </c>
      <c r="E47" s="64">
        <f>SUM(E38:E46)*D47</f>
        <v>0</v>
      </c>
      <c r="AO47" s="65"/>
    </row>
    <row r="48" spans="1:41" x14ac:dyDescent="0.3">
      <c r="B48" s="13" t="s">
        <v>23</v>
      </c>
      <c r="D48" s="25">
        <v>0</v>
      </c>
      <c r="E48" s="64">
        <f>+D48*C48</f>
        <v>0</v>
      </c>
      <c r="AO48" s="66"/>
    </row>
    <row r="49" spans="1:41" x14ac:dyDescent="0.3">
      <c r="B49" s="304" t="s">
        <v>22</v>
      </c>
      <c r="C49" s="304"/>
      <c r="D49" s="304"/>
      <c r="E49" s="26">
        <f>SUM(E38:E48)</f>
        <v>0</v>
      </c>
      <c r="AO49" s="66"/>
    </row>
    <row r="50" spans="1:41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41" x14ac:dyDescent="0.3">
      <c r="B51" s="303" t="s">
        <v>12</v>
      </c>
      <c r="C51" s="303"/>
      <c r="D51" s="303"/>
      <c r="E51" s="303"/>
    </row>
    <row r="52" spans="1:41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41" x14ac:dyDescent="0.3">
      <c r="A53" s="24"/>
      <c r="B53" s="76" t="s">
        <v>200</v>
      </c>
      <c r="C53" s="65">
        <v>1</v>
      </c>
      <c r="D53" s="25">
        <f>VLOOKUP(B53,Coster!$B$5:$D$43,3,FALSE)</f>
        <v>630</v>
      </c>
      <c r="E53" s="64">
        <f t="shared" ref="E53:E63" si="12">+D53*C53</f>
        <v>630</v>
      </c>
      <c r="AF53" t="s">
        <v>306</v>
      </c>
    </row>
    <row r="54" spans="1:41" x14ac:dyDescent="0.3">
      <c r="B54" s="76" t="s">
        <v>204</v>
      </c>
      <c r="C54" s="65">
        <v>1</v>
      </c>
      <c r="D54" s="25">
        <f>VLOOKUP(B54,Coster!$B$5:$D$43,3,FALSE)</f>
        <v>40</v>
      </c>
      <c r="E54" s="64">
        <f t="shared" si="12"/>
        <v>40</v>
      </c>
    </row>
    <row r="55" spans="1:41" x14ac:dyDescent="0.3">
      <c r="B55" s="76"/>
      <c r="C55" s="65"/>
      <c r="D55" s="25"/>
      <c r="E55" s="64">
        <f t="shared" si="12"/>
        <v>0</v>
      </c>
    </row>
    <row r="56" spans="1:41" x14ac:dyDescent="0.3">
      <c r="B56" s="76"/>
      <c r="C56" s="65"/>
      <c r="D56" s="25"/>
      <c r="E56" s="64">
        <f t="shared" si="12"/>
        <v>0</v>
      </c>
    </row>
    <row r="57" spans="1:41" x14ac:dyDescent="0.3">
      <c r="B57" s="76"/>
      <c r="C57" s="65"/>
      <c r="D57" s="25"/>
      <c r="E57" s="64">
        <f t="shared" si="12"/>
        <v>0</v>
      </c>
    </row>
    <row r="58" spans="1:41" x14ac:dyDescent="0.3">
      <c r="B58" s="76"/>
      <c r="C58" s="65"/>
      <c r="D58" s="25"/>
      <c r="E58" s="64">
        <f t="shared" si="12"/>
        <v>0</v>
      </c>
    </row>
    <row r="59" spans="1:41" x14ac:dyDescent="0.3">
      <c r="B59" s="76"/>
      <c r="C59" s="65"/>
      <c r="D59" s="25"/>
      <c r="E59" s="64">
        <f t="shared" si="12"/>
        <v>0</v>
      </c>
    </row>
    <row r="60" spans="1:41" x14ac:dyDescent="0.3">
      <c r="B60" s="12"/>
      <c r="C60" s="65"/>
      <c r="D60" s="25"/>
      <c r="E60" s="64">
        <f t="shared" si="12"/>
        <v>0</v>
      </c>
    </row>
    <row r="61" spans="1:41" x14ac:dyDescent="0.3">
      <c r="B61" s="76"/>
      <c r="D61" s="25"/>
      <c r="E61" s="64">
        <f t="shared" si="12"/>
        <v>0</v>
      </c>
    </row>
    <row r="62" spans="1:41" x14ac:dyDescent="0.3">
      <c r="B62" s="12" t="s">
        <v>305</v>
      </c>
      <c r="C62" s="65">
        <v>1</v>
      </c>
      <c r="D62" s="25">
        <v>200</v>
      </c>
      <c r="E62" s="64">
        <f t="shared" si="12"/>
        <v>200</v>
      </c>
    </row>
    <row r="63" spans="1:41" x14ac:dyDescent="0.3">
      <c r="B63" s="12" t="s">
        <v>53</v>
      </c>
      <c r="C63">
        <v>16</v>
      </c>
      <c r="D63" s="25">
        <v>30</v>
      </c>
      <c r="E63" s="64">
        <f t="shared" si="12"/>
        <v>480</v>
      </c>
    </row>
    <row r="64" spans="1:41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1350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AM81"/>
  <sheetViews>
    <sheetView zoomScaleNormal="100" workbookViewId="0">
      <selection activeCell="D12" sqref="D12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Riassunto!D18</f>
        <v>Scuola Elementare Vittorio Cini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+Riassunto!L18</f>
        <v>3078.5</v>
      </c>
      <c r="D2" s="306"/>
      <c r="E2" s="306"/>
    </row>
    <row r="3" spans="1:36" x14ac:dyDescent="0.3">
      <c r="A3" s="5"/>
      <c r="B3" s="5" t="s">
        <v>17</v>
      </c>
      <c r="C3" s="307">
        <f>Riassunto!I18</f>
        <v>75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24.362514211466625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0.99</v>
      </c>
      <c r="D8" s="108">
        <v>1</v>
      </c>
      <c r="E8" s="109">
        <f>+D8-C8</f>
        <v>1.0000000000000009E-2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0.94</v>
      </c>
      <c r="D9" s="108">
        <v>0.96</v>
      </c>
      <c r="E9" s="109">
        <f t="shared" ref="E9:E12" si="0">+D9-C9</f>
        <v>2.0000000000000018E-2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0.92600000000000005</v>
      </c>
      <c r="D10" s="108">
        <v>0.92600000000000005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0.92</v>
      </c>
      <c r="D11" s="108">
        <v>0.92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0.7927967520000001</v>
      </c>
      <c r="D12" s="110">
        <f>+D8*D9*D10*D11</f>
        <v>0.81784319999999999</v>
      </c>
      <c r="E12" s="111">
        <f t="shared" si="0"/>
        <v>2.5046447999999888E-2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2.5046447999999888E-2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23.752319766119868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73.121516400000004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156" t="s">
        <v>253</v>
      </c>
      <c r="AG22" s="65">
        <v>1</v>
      </c>
      <c r="AH22" s="25">
        <v>150</v>
      </c>
      <c r="AI22" s="64">
        <f>+AH22*AG22</f>
        <v>150</v>
      </c>
      <c r="AJ22" s="64"/>
    </row>
    <row r="23" spans="1:36" x14ac:dyDescent="0.3">
      <c r="B23" s="50"/>
      <c r="C23" s="128"/>
      <c r="D23" s="130"/>
      <c r="E23" s="131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12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2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2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9" x14ac:dyDescent="0.3">
      <c r="B33" s="12" t="s">
        <v>53</v>
      </c>
      <c r="C33" s="65"/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9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9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9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150</v>
      </c>
      <c r="AJ36" s="26"/>
    </row>
    <row r="37" spans="1:39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9" x14ac:dyDescent="0.3">
      <c r="B38" s="311" t="s">
        <v>33</v>
      </c>
      <c r="C38" s="311"/>
      <c r="D38" s="311"/>
      <c r="E38" s="311"/>
    </row>
    <row r="39" spans="1:39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9" x14ac:dyDescent="0.3">
      <c r="B40" s="156" t="s">
        <v>320</v>
      </c>
      <c r="C40" s="65">
        <v>30</v>
      </c>
      <c r="D40" s="25">
        <v>50</v>
      </c>
      <c r="E40" s="64">
        <f t="shared" ref="E40:E46" si="10">+D40*C40</f>
        <v>1500</v>
      </c>
    </row>
    <row r="41" spans="1:39" x14ac:dyDescent="0.3">
      <c r="A41" s="24"/>
      <c r="B41" s="76"/>
      <c r="C41" s="65"/>
      <c r="D41" s="25"/>
      <c r="E41" s="64">
        <f t="shared" si="10"/>
        <v>0</v>
      </c>
      <c r="AM41" s="65"/>
    </row>
    <row r="42" spans="1:39" x14ac:dyDescent="0.3">
      <c r="A42" s="24"/>
      <c r="B42" s="76"/>
      <c r="C42" s="65"/>
      <c r="D42" s="25"/>
      <c r="E42" s="64">
        <f t="shared" si="10"/>
        <v>0</v>
      </c>
      <c r="AM42" s="65"/>
    </row>
    <row r="43" spans="1:39" x14ac:dyDescent="0.3">
      <c r="A43" s="24"/>
      <c r="B43" s="76"/>
      <c r="C43" s="65"/>
      <c r="D43" s="25"/>
      <c r="E43" s="64">
        <f t="shared" si="10"/>
        <v>0</v>
      </c>
      <c r="AM43" s="65"/>
    </row>
    <row r="44" spans="1:39" x14ac:dyDescent="0.3">
      <c r="B44" s="76"/>
      <c r="C44" s="65"/>
      <c r="D44" s="25"/>
      <c r="E44" s="64">
        <f t="shared" si="10"/>
        <v>0</v>
      </c>
      <c r="AM44" s="65"/>
    </row>
    <row r="45" spans="1:39" x14ac:dyDescent="0.3">
      <c r="B45" s="76"/>
      <c r="C45" s="65"/>
      <c r="D45" s="25"/>
      <c r="E45" s="64">
        <f t="shared" si="10"/>
        <v>0</v>
      </c>
      <c r="AM45" s="65"/>
    </row>
    <row r="46" spans="1:39" x14ac:dyDescent="0.3">
      <c r="B46" s="12"/>
      <c r="C46" s="65"/>
      <c r="D46" s="25"/>
      <c r="E46" s="64">
        <f t="shared" si="10"/>
        <v>0</v>
      </c>
      <c r="AM46" s="65"/>
    </row>
    <row r="47" spans="1:39" x14ac:dyDescent="0.3">
      <c r="B47" s="13"/>
      <c r="C47" s="65"/>
      <c r="D47" s="67"/>
      <c r="E47" s="64">
        <f>SUM(E38:E46)*D47</f>
        <v>0</v>
      </c>
      <c r="AM47" s="65"/>
    </row>
    <row r="48" spans="1:39" x14ac:dyDescent="0.3">
      <c r="B48" s="13" t="s">
        <v>23</v>
      </c>
      <c r="D48" s="25">
        <v>0</v>
      </c>
      <c r="E48" s="64">
        <f>+D48*C48</f>
        <v>0</v>
      </c>
      <c r="AM48" s="65"/>
    </row>
    <row r="49" spans="1:39" x14ac:dyDescent="0.3">
      <c r="B49" s="304" t="s">
        <v>22</v>
      </c>
      <c r="C49" s="304"/>
      <c r="D49" s="304"/>
      <c r="E49" s="26">
        <f>SUM(E38:E48)</f>
        <v>1500</v>
      </c>
      <c r="AM49" s="6"/>
    </row>
    <row r="50" spans="1:39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  <c r="AM50" s="65"/>
    </row>
    <row r="51" spans="1:39" x14ac:dyDescent="0.3">
      <c r="B51" s="303" t="s">
        <v>12</v>
      </c>
      <c r="C51" s="303"/>
      <c r="D51" s="303"/>
      <c r="E51" s="303"/>
    </row>
    <row r="52" spans="1:39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M52" s="65"/>
    </row>
    <row r="53" spans="1:39" x14ac:dyDescent="0.3">
      <c r="A53" s="24"/>
      <c r="B53" s="12" t="s">
        <v>200</v>
      </c>
      <c r="C53" s="65">
        <v>1</v>
      </c>
      <c r="D53" s="25">
        <f>VLOOKUP(B53,Coster!$B$5:$D$43,3,FALSE)</f>
        <v>630</v>
      </c>
      <c r="E53" s="64">
        <f t="shared" ref="E53:E63" si="11">+D53*C53</f>
        <v>630</v>
      </c>
      <c r="AM53" s="66"/>
    </row>
    <row r="54" spans="1:39" x14ac:dyDescent="0.3">
      <c r="B54" s="12"/>
      <c r="C54" s="65"/>
      <c r="D54" s="25"/>
      <c r="E54" s="64">
        <f t="shared" si="11"/>
        <v>0</v>
      </c>
      <c r="AM54" s="66"/>
    </row>
    <row r="55" spans="1:39" x14ac:dyDescent="0.3">
      <c r="B55" s="76"/>
      <c r="C55" s="65"/>
      <c r="D55" s="25"/>
      <c r="E55" s="64">
        <f t="shared" si="11"/>
        <v>0</v>
      </c>
    </row>
    <row r="56" spans="1:39" x14ac:dyDescent="0.3">
      <c r="B56" s="12"/>
      <c r="C56" s="65"/>
      <c r="D56" s="25"/>
      <c r="E56" s="64">
        <f t="shared" si="11"/>
        <v>0</v>
      </c>
    </row>
    <row r="57" spans="1:39" x14ac:dyDescent="0.3">
      <c r="B57" s="12"/>
      <c r="C57" s="65"/>
      <c r="D57" s="25"/>
      <c r="E57" s="64">
        <f t="shared" si="11"/>
        <v>0</v>
      </c>
    </row>
    <row r="58" spans="1:39" x14ac:dyDescent="0.3">
      <c r="B58" s="13"/>
      <c r="C58" s="65"/>
      <c r="D58" s="25"/>
      <c r="E58" s="64">
        <f t="shared" si="11"/>
        <v>0</v>
      </c>
    </row>
    <row r="59" spans="1:39" x14ac:dyDescent="0.3">
      <c r="B59" s="12"/>
      <c r="C59" s="65"/>
      <c r="D59" s="25"/>
      <c r="E59" s="64">
        <f t="shared" si="11"/>
        <v>0</v>
      </c>
    </row>
    <row r="60" spans="1:39" x14ac:dyDescent="0.3">
      <c r="B60" s="12"/>
      <c r="C60" s="65"/>
      <c r="D60" s="25"/>
      <c r="E60" s="64">
        <f t="shared" si="11"/>
        <v>0</v>
      </c>
    </row>
    <row r="61" spans="1:39" x14ac:dyDescent="0.3">
      <c r="B61" s="12"/>
      <c r="C61" s="65"/>
      <c r="D61" s="25"/>
      <c r="E61" s="64">
        <f t="shared" si="11"/>
        <v>0</v>
      </c>
    </row>
    <row r="62" spans="1:39" x14ac:dyDescent="0.3">
      <c r="B62" s="12"/>
      <c r="C62" s="65"/>
      <c r="D62" s="25"/>
      <c r="E62" s="64">
        <f t="shared" si="11"/>
        <v>0</v>
      </c>
    </row>
    <row r="63" spans="1:39" x14ac:dyDescent="0.3">
      <c r="B63" s="12" t="s">
        <v>53</v>
      </c>
      <c r="C63" s="65">
        <v>8</v>
      </c>
      <c r="D63" s="25">
        <v>30</v>
      </c>
      <c r="E63" s="64">
        <f t="shared" si="11"/>
        <v>240</v>
      </c>
    </row>
    <row r="64" spans="1:39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870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AG63"/>
  <sheetViews>
    <sheetView showGridLines="0" zoomScale="85" zoomScaleNormal="85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AE1" sqref="AE1"/>
    </sheetView>
  </sheetViews>
  <sheetFormatPr defaultColWidth="8.6640625" defaultRowHeight="13.8" x14ac:dyDescent="0.3"/>
  <cols>
    <col min="1" max="1" width="8.88671875" style="163" customWidth="1"/>
    <col min="2" max="2" width="52.44140625" style="164" bestFit="1" customWidth="1"/>
    <col min="3" max="3" width="10.88671875" style="55" bestFit="1" customWidth="1"/>
    <col min="4" max="17" width="10.88671875" style="164" bestFit="1" customWidth="1"/>
    <col min="18" max="18" width="10" style="164" bestFit="1" customWidth="1"/>
    <col min="19" max="26" width="10.88671875" style="164" bestFit="1" customWidth="1"/>
    <col min="27" max="27" width="16.5546875" style="164" bestFit="1" customWidth="1"/>
    <col min="28" max="28" width="18.88671875" style="164" bestFit="1" customWidth="1"/>
    <col min="29" max="29" width="17.109375" style="164" bestFit="1" customWidth="1"/>
    <col min="30" max="31" width="17.109375" style="164" customWidth="1"/>
    <col min="32" max="32" width="21.88671875" style="164" bestFit="1" customWidth="1"/>
    <col min="33" max="236" width="8.6640625" style="164"/>
    <col min="237" max="237" width="8.88671875" style="164" customWidth="1"/>
    <col min="238" max="238" width="15.5546875" style="164" bestFit="1" customWidth="1"/>
    <col min="239" max="239" width="34.88671875" style="164" bestFit="1" customWidth="1"/>
    <col min="240" max="240" width="15.6640625" style="164" customWidth="1"/>
    <col min="241" max="241" width="10.6640625" style="164" customWidth="1"/>
    <col min="242" max="242" width="8.6640625" style="164"/>
    <col min="243" max="243" width="15.6640625" style="164" customWidth="1"/>
    <col min="244" max="244" width="16.88671875" style="164" bestFit="1" customWidth="1"/>
    <col min="245" max="248" width="15.6640625" style="164" customWidth="1"/>
    <col min="249" max="249" width="13.6640625" style="164" customWidth="1"/>
    <col min="250" max="492" width="8.6640625" style="164"/>
    <col min="493" max="493" width="8.88671875" style="164" customWidth="1"/>
    <col min="494" max="494" width="15.5546875" style="164" bestFit="1" customWidth="1"/>
    <col min="495" max="495" width="34.88671875" style="164" bestFit="1" customWidth="1"/>
    <col min="496" max="496" width="15.6640625" style="164" customWidth="1"/>
    <col min="497" max="497" width="10.6640625" style="164" customWidth="1"/>
    <col min="498" max="498" width="8.6640625" style="164"/>
    <col min="499" max="499" width="15.6640625" style="164" customWidth="1"/>
    <col min="500" max="500" width="16.88671875" style="164" bestFit="1" customWidth="1"/>
    <col min="501" max="504" width="15.6640625" style="164" customWidth="1"/>
    <col min="505" max="505" width="13.6640625" style="164" customWidth="1"/>
    <col min="506" max="748" width="8.6640625" style="164"/>
    <col min="749" max="749" width="8.88671875" style="164" customWidth="1"/>
    <col min="750" max="750" width="15.5546875" style="164" bestFit="1" customWidth="1"/>
    <col min="751" max="751" width="34.88671875" style="164" bestFit="1" customWidth="1"/>
    <col min="752" max="752" width="15.6640625" style="164" customWidth="1"/>
    <col min="753" max="753" width="10.6640625" style="164" customWidth="1"/>
    <col min="754" max="754" width="8.6640625" style="164"/>
    <col min="755" max="755" width="15.6640625" style="164" customWidth="1"/>
    <col min="756" max="756" width="16.88671875" style="164" bestFit="1" customWidth="1"/>
    <col min="757" max="760" width="15.6640625" style="164" customWidth="1"/>
    <col min="761" max="761" width="13.6640625" style="164" customWidth="1"/>
    <col min="762" max="1004" width="8.6640625" style="164"/>
    <col min="1005" max="1005" width="8.88671875" style="164" customWidth="1"/>
    <col min="1006" max="1006" width="15.5546875" style="164" bestFit="1" customWidth="1"/>
    <col min="1007" max="1007" width="34.88671875" style="164" bestFit="1" customWidth="1"/>
    <col min="1008" max="1008" width="15.6640625" style="164" customWidth="1"/>
    <col min="1009" max="1009" width="10.6640625" style="164" customWidth="1"/>
    <col min="1010" max="1010" width="8.6640625" style="164"/>
    <col min="1011" max="1011" width="15.6640625" style="164" customWidth="1"/>
    <col min="1012" max="1012" width="16.88671875" style="164" bestFit="1" customWidth="1"/>
    <col min="1013" max="1016" width="15.6640625" style="164" customWidth="1"/>
    <col min="1017" max="1017" width="13.6640625" style="164" customWidth="1"/>
    <col min="1018" max="1260" width="8.6640625" style="164"/>
    <col min="1261" max="1261" width="8.88671875" style="164" customWidth="1"/>
    <col min="1262" max="1262" width="15.5546875" style="164" bestFit="1" customWidth="1"/>
    <col min="1263" max="1263" width="34.88671875" style="164" bestFit="1" customWidth="1"/>
    <col min="1264" max="1264" width="15.6640625" style="164" customWidth="1"/>
    <col min="1265" max="1265" width="10.6640625" style="164" customWidth="1"/>
    <col min="1266" max="1266" width="8.6640625" style="164"/>
    <col min="1267" max="1267" width="15.6640625" style="164" customWidth="1"/>
    <col min="1268" max="1268" width="16.88671875" style="164" bestFit="1" customWidth="1"/>
    <col min="1269" max="1272" width="15.6640625" style="164" customWidth="1"/>
    <col min="1273" max="1273" width="13.6640625" style="164" customWidth="1"/>
    <col min="1274" max="1516" width="8.6640625" style="164"/>
    <col min="1517" max="1517" width="8.88671875" style="164" customWidth="1"/>
    <col min="1518" max="1518" width="15.5546875" style="164" bestFit="1" customWidth="1"/>
    <col min="1519" max="1519" width="34.88671875" style="164" bestFit="1" customWidth="1"/>
    <col min="1520" max="1520" width="15.6640625" style="164" customWidth="1"/>
    <col min="1521" max="1521" width="10.6640625" style="164" customWidth="1"/>
    <col min="1522" max="1522" width="8.6640625" style="164"/>
    <col min="1523" max="1523" width="15.6640625" style="164" customWidth="1"/>
    <col min="1524" max="1524" width="16.88671875" style="164" bestFit="1" customWidth="1"/>
    <col min="1525" max="1528" width="15.6640625" style="164" customWidth="1"/>
    <col min="1529" max="1529" width="13.6640625" style="164" customWidth="1"/>
    <col min="1530" max="1772" width="8.6640625" style="164"/>
    <col min="1773" max="1773" width="8.88671875" style="164" customWidth="1"/>
    <col min="1774" max="1774" width="15.5546875" style="164" bestFit="1" customWidth="1"/>
    <col min="1775" max="1775" width="34.88671875" style="164" bestFit="1" customWidth="1"/>
    <col min="1776" max="1776" width="15.6640625" style="164" customWidth="1"/>
    <col min="1777" max="1777" width="10.6640625" style="164" customWidth="1"/>
    <col min="1778" max="1778" width="8.6640625" style="164"/>
    <col min="1779" max="1779" width="15.6640625" style="164" customWidth="1"/>
    <col min="1780" max="1780" width="16.88671875" style="164" bestFit="1" customWidth="1"/>
    <col min="1781" max="1784" width="15.6640625" style="164" customWidth="1"/>
    <col min="1785" max="1785" width="13.6640625" style="164" customWidth="1"/>
    <col min="1786" max="2028" width="8.6640625" style="164"/>
    <col min="2029" max="2029" width="8.88671875" style="164" customWidth="1"/>
    <col min="2030" max="2030" width="15.5546875" style="164" bestFit="1" customWidth="1"/>
    <col min="2031" max="2031" width="34.88671875" style="164" bestFit="1" customWidth="1"/>
    <col min="2032" max="2032" width="15.6640625" style="164" customWidth="1"/>
    <col min="2033" max="2033" width="10.6640625" style="164" customWidth="1"/>
    <col min="2034" max="2034" width="8.6640625" style="164"/>
    <col min="2035" max="2035" width="15.6640625" style="164" customWidth="1"/>
    <col min="2036" max="2036" width="16.88671875" style="164" bestFit="1" customWidth="1"/>
    <col min="2037" max="2040" width="15.6640625" style="164" customWidth="1"/>
    <col min="2041" max="2041" width="13.6640625" style="164" customWidth="1"/>
    <col min="2042" max="2284" width="8.6640625" style="164"/>
    <col min="2285" max="2285" width="8.88671875" style="164" customWidth="1"/>
    <col min="2286" max="2286" width="15.5546875" style="164" bestFit="1" customWidth="1"/>
    <col min="2287" max="2287" width="34.88671875" style="164" bestFit="1" customWidth="1"/>
    <col min="2288" max="2288" width="15.6640625" style="164" customWidth="1"/>
    <col min="2289" max="2289" width="10.6640625" style="164" customWidth="1"/>
    <col min="2290" max="2290" width="8.6640625" style="164"/>
    <col min="2291" max="2291" width="15.6640625" style="164" customWidth="1"/>
    <col min="2292" max="2292" width="16.88671875" style="164" bestFit="1" customWidth="1"/>
    <col min="2293" max="2296" width="15.6640625" style="164" customWidth="1"/>
    <col min="2297" max="2297" width="13.6640625" style="164" customWidth="1"/>
    <col min="2298" max="2540" width="8.6640625" style="164"/>
    <col min="2541" max="2541" width="8.88671875" style="164" customWidth="1"/>
    <col min="2542" max="2542" width="15.5546875" style="164" bestFit="1" customWidth="1"/>
    <col min="2543" max="2543" width="34.88671875" style="164" bestFit="1" customWidth="1"/>
    <col min="2544" max="2544" width="15.6640625" style="164" customWidth="1"/>
    <col min="2545" max="2545" width="10.6640625" style="164" customWidth="1"/>
    <col min="2546" max="2546" width="8.6640625" style="164"/>
    <col min="2547" max="2547" width="15.6640625" style="164" customWidth="1"/>
    <col min="2548" max="2548" width="16.88671875" style="164" bestFit="1" customWidth="1"/>
    <col min="2549" max="2552" width="15.6640625" style="164" customWidth="1"/>
    <col min="2553" max="2553" width="13.6640625" style="164" customWidth="1"/>
    <col min="2554" max="2796" width="8.6640625" style="164"/>
    <col min="2797" max="2797" width="8.88671875" style="164" customWidth="1"/>
    <col min="2798" max="2798" width="15.5546875" style="164" bestFit="1" customWidth="1"/>
    <col min="2799" max="2799" width="34.88671875" style="164" bestFit="1" customWidth="1"/>
    <col min="2800" max="2800" width="15.6640625" style="164" customWidth="1"/>
    <col min="2801" max="2801" width="10.6640625" style="164" customWidth="1"/>
    <col min="2802" max="2802" width="8.6640625" style="164"/>
    <col min="2803" max="2803" width="15.6640625" style="164" customWidth="1"/>
    <col min="2804" max="2804" width="16.88671875" style="164" bestFit="1" customWidth="1"/>
    <col min="2805" max="2808" width="15.6640625" style="164" customWidth="1"/>
    <col min="2809" max="2809" width="13.6640625" style="164" customWidth="1"/>
    <col min="2810" max="3052" width="8.6640625" style="164"/>
    <col min="3053" max="3053" width="8.88671875" style="164" customWidth="1"/>
    <col min="3054" max="3054" width="15.5546875" style="164" bestFit="1" customWidth="1"/>
    <col min="3055" max="3055" width="34.88671875" style="164" bestFit="1" customWidth="1"/>
    <col min="3056" max="3056" width="15.6640625" style="164" customWidth="1"/>
    <col min="3057" max="3057" width="10.6640625" style="164" customWidth="1"/>
    <col min="3058" max="3058" width="8.6640625" style="164"/>
    <col min="3059" max="3059" width="15.6640625" style="164" customWidth="1"/>
    <col min="3060" max="3060" width="16.88671875" style="164" bestFit="1" customWidth="1"/>
    <col min="3061" max="3064" width="15.6640625" style="164" customWidth="1"/>
    <col min="3065" max="3065" width="13.6640625" style="164" customWidth="1"/>
    <col min="3066" max="3308" width="8.6640625" style="164"/>
    <col min="3309" max="3309" width="8.88671875" style="164" customWidth="1"/>
    <col min="3310" max="3310" width="15.5546875" style="164" bestFit="1" customWidth="1"/>
    <col min="3311" max="3311" width="34.88671875" style="164" bestFit="1" customWidth="1"/>
    <col min="3312" max="3312" width="15.6640625" style="164" customWidth="1"/>
    <col min="3313" max="3313" width="10.6640625" style="164" customWidth="1"/>
    <col min="3314" max="3314" width="8.6640625" style="164"/>
    <col min="3315" max="3315" width="15.6640625" style="164" customWidth="1"/>
    <col min="3316" max="3316" width="16.88671875" style="164" bestFit="1" customWidth="1"/>
    <col min="3317" max="3320" width="15.6640625" style="164" customWidth="1"/>
    <col min="3321" max="3321" width="13.6640625" style="164" customWidth="1"/>
    <col min="3322" max="3564" width="8.6640625" style="164"/>
    <col min="3565" max="3565" width="8.88671875" style="164" customWidth="1"/>
    <col min="3566" max="3566" width="15.5546875" style="164" bestFit="1" customWidth="1"/>
    <col min="3567" max="3567" width="34.88671875" style="164" bestFit="1" customWidth="1"/>
    <col min="3568" max="3568" width="15.6640625" style="164" customWidth="1"/>
    <col min="3569" max="3569" width="10.6640625" style="164" customWidth="1"/>
    <col min="3570" max="3570" width="8.6640625" style="164"/>
    <col min="3571" max="3571" width="15.6640625" style="164" customWidth="1"/>
    <col min="3572" max="3572" width="16.88671875" style="164" bestFit="1" customWidth="1"/>
    <col min="3573" max="3576" width="15.6640625" style="164" customWidth="1"/>
    <col min="3577" max="3577" width="13.6640625" style="164" customWidth="1"/>
    <col min="3578" max="3820" width="8.6640625" style="164"/>
    <col min="3821" max="3821" width="8.88671875" style="164" customWidth="1"/>
    <col min="3822" max="3822" width="15.5546875" style="164" bestFit="1" customWidth="1"/>
    <col min="3823" max="3823" width="34.88671875" style="164" bestFit="1" customWidth="1"/>
    <col min="3824" max="3824" width="15.6640625" style="164" customWidth="1"/>
    <col min="3825" max="3825" width="10.6640625" style="164" customWidth="1"/>
    <col min="3826" max="3826" width="8.6640625" style="164"/>
    <col min="3827" max="3827" width="15.6640625" style="164" customWidth="1"/>
    <col min="3828" max="3828" width="16.88671875" style="164" bestFit="1" customWidth="1"/>
    <col min="3829" max="3832" width="15.6640625" style="164" customWidth="1"/>
    <col min="3833" max="3833" width="13.6640625" style="164" customWidth="1"/>
    <col min="3834" max="4076" width="8.6640625" style="164"/>
    <col min="4077" max="4077" width="8.88671875" style="164" customWidth="1"/>
    <col min="4078" max="4078" width="15.5546875" style="164" bestFit="1" customWidth="1"/>
    <col min="4079" max="4079" width="34.88671875" style="164" bestFit="1" customWidth="1"/>
    <col min="4080" max="4080" width="15.6640625" style="164" customWidth="1"/>
    <col min="4081" max="4081" width="10.6640625" style="164" customWidth="1"/>
    <col min="4082" max="4082" width="8.6640625" style="164"/>
    <col min="4083" max="4083" width="15.6640625" style="164" customWidth="1"/>
    <col min="4084" max="4084" width="16.88671875" style="164" bestFit="1" customWidth="1"/>
    <col min="4085" max="4088" width="15.6640625" style="164" customWidth="1"/>
    <col min="4089" max="4089" width="13.6640625" style="164" customWidth="1"/>
    <col min="4090" max="4332" width="8.6640625" style="164"/>
    <col min="4333" max="4333" width="8.88671875" style="164" customWidth="1"/>
    <col min="4334" max="4334" width="15.5546875" style="164" bestFit="1" customWidth="1"/>
    <col min="4335" max="4335" width="34.88671875" style="164" bestFit="1" customWidth="1"/>
    <col min="4336" max="4336" width="15.6640625" style="164" customWidth="1"/>
    <col min="4337" max="4337" width="10.6640625" style="164" customWidth="1"/>
    <col min="4338" max="4338" width="8.6640625" style="164"/>
    <col min="4339" max="4339" width="15.6640625" style="164" customWidth="1"/>
    <col min="4340" max="4340" width="16.88671875" style="164" bestFit="1" customWidth="1"/>
    <col min="4341" max="4344" width="15.6640625" style="164" customWidth="1"/>
    <col min="4345" max="4345" width="13.6640625" style="164" customWidth="1"/>
    <col min="4346" max="4588" width="8.6640625" style="164"/>
    <col min="4589" max="4589" width="8.88671875" style="164" customWidth="1"/>
    <col min="4590" max="4590" width="15.5546875" style="164" bestFit="1" customWidth="1"/>
    <col min="4591" max="4591" width="34.88671875" style="164" bestFit="1" customWidth="1"/>
    <col min="4592" max="4592" width="15.6640625" style="164" customWidth="1"/>
    <col min="4593" max="4593" width="10.6640625" style="164" customWidth="1"/>
    <col min="4594" max="4594" width="8.6640625" style="164"/>
    <col min="4595" max="4595" width="15.6640625" style="164" customWidth="1"/>
    <col min="4596" max="4596" width="16.88671875" style="164" bestFit="1" customWidth="1"/>
    <col min="4597" max="4600" width="15.6640625" style="164" customWidth="1"/>
    <col min="4601" max="4601" width="13.6640625" style="164" customWidth="1"/>
    <col min="4602" max="4844" width="8.6640625" style="164"/>
    <col min="4845" max="4845" width="8.88671875" style="164" customWidth="1"/>
    <col min="4846" max="4846" width="15.5546875" style="164" bestFit="1" customWidth="1"/>
    <col min="4847" max="4847" width="34.88671875" style="164" bestFit="1" customWidth="1"/>
    <col min="4848" max="4848" width="15.6640625" style="164" customWidth="1"/>
    <col min="4849" max="4849" width="10.6640625" style="164" customWidth="1"/>
    <col min="4850" max="4850" width="8.6640625" style="164"/>
    <col min="4851" max="4851" width="15.6640625" style="164" customWidth="1"/>
    <col min="4852" max="4852" width="16.88671875" style="164" bestFit="1" customWidth="1"/>
    <col min="4853" max="4856" width="15.6640625" style="164" customWidth="1"/>
    <col min="4857" max="4857" width="13.6640625" style="164" customWidth="1"/>
    <col min="4858" max="5100" width="8.6640625" style="164"/>
    <col min="5101" max="5101" width="8.88671875" style="164" customWidth="1"/>
    <col min="5102" max="5102" width="15.5546875" style="164" bestFit="1" customWidth="1"/>
    <col min="5103" max="5103" width="34.88671875" style="164" bestFit="1" customWidth="1"/>
    <col min="5104" max="5104" width="15.6640625" style="164" customWidth="1"/>
    <col min="5105" max="5105" width="10.6640625" style="164" customWidth="1"/>
    <col min="5106" max="5106" width="8.6640625" style="164"/>
    <col min="5107" max="5107" width="15.6640625" style="164" customWidth="1"/>
    <col min="5108" max="5108" width="16.88671875" style="164" bestFit="1" customWidth="1"/>
    <col min="5109" max="5112" width="15.6640625" style="164" customWidth="1"/>
    <col min="5113" max="5113" width="13.6640625" style="164" customWidth="1"/>
    <col min="5114" max="5356" width="8.6640625" style="164"/>
    <col min="5357" max="5357" width="8.88671875" style="164" customWidth="1"/>
    <col min="5358" max="5358" width="15.5546875" style="164" bestFit="1" customWidth="1"/>
    <col min="5359" max="5359" width="34.88671875" style="164" bestFit="1" customWidth="1"/>
    <col min="5360" max="5360" width="15.6640625" style="164" customWidth="1"/>
    <col min="5361" max="5361" width="10.6640625" style="164" customWidth="1"/>
    <col min="5362" max="5362" width="8.6640625" style="164"/>
    <col min="5363" max="5363" width="15.6640625" style="164" customWidth="1"/>
    <col min="5364" max="5364" width="16.88671875" style="164" bestFit="1" customWidth="1"/>
    <col min="5365" max="5368" width="15.6640625" style="164" customWidth="1"/>
    <col min="5369" max="5369" width="13.6640625" style="164" customWidth="1"/>
    <col min="5370" max="5612" width="8.6640625" style="164"/>
    <col min="5613" max="5613" width="8.88671875" style="164" customWidth="1"/>
    <col min="5614" max="5614" width="15.5546875" style="164" bestFit="1" customWidth="1"/>
    <col min="5615" max="5615" width="34.88671875" style="164" bestFit="1" customWidth="1"/>
    <col min="5616" max="5616" width="15.6640625" style="164" customWidth="1"/>
    <col min="5617" max="5617" width="10.6640625" style="164" customWidth="1"/>
    <col min="5618" max="5618" width="8.6640625" style="164"/>
    <col min="5619" max="5619" width="15.6640625" style="164" customWidth="1"/>
    <col min="5620" max="5620" width="16.88671875" style="164" bestFit="1" customWidth="1"/>
    <col min="5621" max="5624" width="15.6640625" style="164" customWidth="1"/>
    <col min="5625" max="5625" width="13.6640625" style="164" customWidth="1"/>
    <col min="5626" max="5868" width="8.6640625" style="164"/>
    <col min="5869" max="5869" width="8.88671875" style="164" customWidth="1"/>
    <col min="5870" max="5870" width="15.5546875" style="164" bestFit="1" customWidth="1"/>
    <col min="5871" max="5871" width="34.88671875" style="164" bestFit="1" customWidth="1"/>
    <col min="5872" max="5872" width="15.6640625" style="164" customWidth="1"/>
    <col min="5873" max="5873" width="10.6640625" style="164" customWidth="1"/>
    <col min="5874" max="5874" width="8.6640625" style="164"/>
    <col min="5875" max="5875" width="15.6640625" style="164" customWidth="1"/>
    <col min="5876" max="5876" width="16.88671875" style="164" bestFit="1" customWidth="1"/>
    <col min="5877" max="5880" width="15.6640625" style="164" customWidth="1"/>
    <col min="5881" max="5881" width="13.6640625" style="164" customWidth="1"/>
    <col min="5882" max="6124" width="8.6640625" style="164"/>
    <col min="6125" max="6125" width="8.88671875" style="164" customWidth="1"/>
    <col min="6126" max="6126" width="15.5546875" style="164" bestFit="1" customWidth="1"/>
    <col min="6127" max="6127" width="34.88671875" style="164" bestFit="1" customWidth="1"/>
    <col min="6128" max="6128" width="15.6640625" style="164" customWidth="1"/>
    <col min="6129" max="6129" width="10.6640625" style="164" customWidth="1"/>
    <col min="6130" max="6130" width="8.6640625" style="164"/>
    <col min="6131" max="6131" width="15.6640625" style="164" customWidth="1"/>
    <col min="6132" max="6132" width="16.88671875" style="164" bestFit="1" customWidth="1"/>
    <col min="6133" max="6136" width="15.6640625" style="164" customWidth="1"/>
    <col min="6137" max="6137" width="13.6640625" style="164" customWidth="1"/>
    <col min="6138" max="6380" width="8.6640625" style="164"/>
    <col min="6381" max="6381" width="8.88671875" style="164" customWidth="1"/>
    <col min="6382" max="6382" width="15.5546875" style="164" bestFit="1" customWidth="1"/>
    <col min="6383" max="6383" width="34.88671875" style="164" bestFit="1" customWidth="1"/>
    <col min="6384" max="6384" width="15.6640625" style="164" customWidth="1"/>
    <col min="6385" max="6385" width="10.6640625" style="164" customWidth="1"/>
    <col min="6386" max="6386" width="8.6640625" style="164"/>
    <col min="6387" max="6387" width="15.6640625" style="164" customWidth="1"/>
    <col min="6388" max="6388" width="16.88671875" style="164" bestFit="1" customWidth="1"/>
    <col min="6389" max="6392" width="15.6640625" style="164" customWidth="1"/>
    <col min="6393" max="6393" width="13.6640625" style="164" customWidth="1"/>
    <col min="6394" max="6636" width="8.6640625" style="164"/>
    <col min="6637" max="6637" width="8.88671875" style="164" customWidth="1"/>
    <col min="6638" max="6638" width="15.5546875" style="164" bestFit="1" customWidth="1"/>
    <col min="6639" max="6639" width="34.88671875" style="164" bestFit="1" customWidth="1"/>
    <col min="6640" max="6640" width="15.6640625" style="164" customWidth="1"/>
    <col min="6641" max="6641" width="10.6640625" style="164" customWidth="1"/>
    <col min="6642" max="6642" width="8.6640625" style="164"/>
    <col min="6643" max="6643" width="15.6640625" style="164" customWidth="1"/>
    <col min="6644" max="6644" width="16.88671875" style="164" bestFit="1" customWidth="1"/>
    <col min="6645" max="6648" width="15.6640625" style="164" customWidth="1"/>
    <col min="6649" max="6649" width="13.6640625" style="164" customWidth="1"/>
    <col min="6650" max="6892" width="8.6640625" style="164"/>
    <col min="6893" max="6893" width="8.88671875" style="164" customWidth="1"/>
    <col min="6894" max="6894" width="15.5546875" style="164" bestFit="1" customWidth="1"/>
    <col min="6895" max="6895" width="34.88671875" style="164" bestFit="1" customWidth="1"/>
    <col min="6896" max="6896" width="15.6640625" style="164" customWidth="1"/>
    <col min="6897" max="6897" width="10.6640625" style="164" customWidth="1"/>
    <col min="6898" max="6898" width="8.6640625" style="164"/>
    <col min="6899" max="6899" width="15.6640625" style="164" customWidth="1"/>
    <col min="6900" max="6900" width="16.88671875" style="164" bestFit="1" customWidth="1"/>
    <col min="6901" max="6904" width="15.6640625" style="164" customWidth="1"/>
    <col min="6905" max="6905" width="13.6640625" style="164" customWidth="1"/>
    <col min="6906" max="7148" width="8.6640625" style="164"/>
    <col min="7149" max="7149" width="8.88671875" style="164" customWidth="1"/>
    <col min="7150" max="7150" width="15.5546875" style="164" bestFit="1" customWidth="1"/>
    <col min="7151" max="7151" width="34.88671875" style="164" bestFit="1" customWidth="1"/>
    <col min="7152" max="7152" width="15.6640625" style="164" customWidth="1"/>
    <col min="7153" max="7153" width="10.6640625" style="164" customWidth="1"/>
    <col min="7154" max="7154" width="8.6640625" style="164"/>
    <col min="7155" max="7155" width="15.6640625" style="164" customWidth="1"/>
    <col min="7156" max="7156" width="16.88671875" style="164" bestFit="1" customWidth="1"/>
    <col min="7157" max="7160" width="15.6640625" style="164" customWidth="1"/>
    <col min="7161" max="7161" width="13.6640625" style="164" customWidth="1"/>
    <col min="7162" max="7404" width="8.6640625" style="164"/>
    <col min="7405" max="7405" width="8.88671875" style="164" customWidth="1"/>
    <col min="7406" max="7406" width="15.5546875" style="164" bestFit="1" customWidth="1"/>
    <col min="7407" max="7407" width="34.88671875" style="164" bestFit="1" customWidth="1"/>
    <col min="7408" max="7408" width="15.6640625" style="164" customWidth="1"/>
    <col min="7409" max="7409" width="10.6640625" style="164" customWidth="1"/>
    <col min="7410" max="7410" width="8.6640625" style="164"/>
    <col min="7411" max="7411" width="15.6640625" style="164" customWidth="1"/>
    <col min="7412" max="7412" width="16.88671875" style="164" bestFit="1" customWidth="1"/>
    <col min="7413" max="7416" width="15.6640625" style="164" customWidth="1"/>
    <col min="7417" max="7417" width="13.6640625" style="164" customWidth="1"/>
    <col min="7418" max="7660" width="8.6640625" style="164"/>
    <col min="7661" max="7661" width="8.88671875" style="164" customWidth="1"/>
    <col min="7662" max="7662" width="15.5546875" style="164" bestFit="1" customWidth="1"/>
    <col min="7663" max="7663" width="34.88671875" style="164" bestFit="1" customWidth="1"/>
    <col min="7664" max="7664" width="15.6640625" style="164" customWidth="1"/>
    <col min="7665" max="7665" width="10.6640625" style="164" customWidth="1"/>
    <col min="7666" max="7666" width="8.6640625" style="164"/>
    <col min="7667" max="7667" width="15.6640625" style="164" customWidth="1"/>
    <col min="7668" max="7668" width="16.88671875" style="164" bestFit="1" customWidth="1"/>
    <col min="7669" max="7672" width="15.6640625" style="164" customWidth="1"/>
    <col min="7673" max="7673" width="13.6640625" style="164" customWidth="1"/>
    <col min="7674" max="7916" width="8.6640625" style="164"/>
    <col min="7917" max="7917" width="8.88671875" style="164" customWidth="1"/>
    <col min="7918" max="7918" width="15.5546875" style="164" bestFit="1" customWidth="1"/>
    <col min="7919" max="7919" width="34.88671875" style="164" bestFit="1" customWidth="1"/>
    <col min="7920" max="7920" width="15.6640625" style="164" customWidth="1"/>
    <col min="7921" max="7921" width="10.6640625" style="164" customWidth="1"/>
    <col min="7922" max="7922" width="8.6640625" style="164"/>
    <col min="7923" max="7923" width="15.6640625" style="164" customWidth="1"/>
    <col min="7924" max="7924" width="16.88671875" style="164" bestFit="1" customWidth="1"/>
    <col min="7925" max="7928" width="15.6640625" style="164" customWidth="1"/>
    <col min="7929" max="7929" width="13.6640625" style="164" customWidth="1"/>
    <col min="7930" max="8172" width="8.6640625" style="164"/>
    <col min="8173" max="8173" width="8.88671875" style="164" customWidth="1"/>
    <col min="8174" max="8174" width="15.5546875" style="164" bestFit="1" customWidth="1"/>
    <col min="8175" max="8175" width="34.88671875" style="164" bestFit="1" customWidth="1"/>
    <col min="8176" max="8176" width="15.6640625" style="164" customWidth="1"/>
    <col min="8177" max="8177" width="10.6640625" style="164" customWidth="1"/>
    <col min="8178" max="8178" width="8.6640625" style="164"/>
    <col min="8179" max="8179" width="15.6640625" style="164" customWidth="1"/>
    <col min="8180" max="8180" width="16.88671875" style="164" bestFit="1" customWidth="1"/>
    <col min="8181" max="8184" width="15.6640625" style="164" customWidth="1"/>
    <col min="8185" max="8185" width="13.6640625" style="164" customWidth="1"/>
    <col min="8186" max="8428" width="8.6640625" style="164"/>
    <col min="8429" max="8429" width="8.88671875" style="164" customWidth="1"/>
    <col min="8430" max="8430" width="15.5546875" style="164" bestFit="1" customWidth="1"/>
    <col min="8431" max="8431" width="34.88671875" style="164" bestFit="1" customWidth="1"/>
    <col min="8432" max="8432" width="15.6640625" style="164" customWidth="1"/>
    <col min="8433" max="8433" width="10.6640625" style="164" customWidth="1"/>
    <col min="8434" max="8434" width="8.6640625" style="164"/>
    <col min="8435" max="8435" width="15.6640625" style="164" customWidth="1"/>
    <col min="8436" max="8436" width="16.88671875" style="164" bestFit="1" customWidth="1"/>
    <col min="8437" max="8440" width="15.6640625" style="164" customWidth="1"/>
    <col min="8441" max="8441" width="13.6640625" style="164" customWidth="1"/>
    <col min="8442" max="8684" width="8.6640625" style="164"/>
    <col min="8685" max="8685" width="8.88671875" style="164" customWidth="1"/>
    <col min="8686" max="8686" width="15.5546875" style="164" bestFit="1" customWidth="1"/>
    <col min="8687" max="8687" width="34.88671875" style="164" bestFit="1" customWidth="1"/>
    <col min="8688" max="8688" width="15.6640625" style="164" customWidth="1"/>
    <col min="8689" max="8689" width="10.6640625" style="164" customWidth="1"/>
    <col min="8690" max="8690" width="8.6640625" style="164"/>
    <col min="8691" max="8691" width="15.6640625" style="164" customWidth="1"/>
    <col min="8692" max="8692" width="16.88671875" style="164" bestFit="1" customWidth="1"/>
    <col min="8693" max="8696" width="15.6640625" style="164" customWidth="1"/>
    <col min="8697" max="8697" width="13.6640625" style="164" customWidth="1"/>
    <col min="8698" max="8940" width="8.6640625" style="164"/>
    <col min="8941" max="8941" width="8.88671875" style="164" customWidth="1"/>
    <col min="8942" max="8942" width="15.5546875" style="164" bestFit="1" customWidth="1"/>
    <col min="8943" max="8943" width="34.88671875" style="164" bestFit="1" customWidth="1"/>
    <col min="8944" max="8944" width="15.6640625" style="164" customWidth="1"/>
    <col min="8945" max="8945" width="10.6640625" style="164" customWidth="1"/>
    <col min="8946" max="8946" width="8.6640625" style="164"/>
    <col min="8947" max="8947" width="15.6640625" style="164" customWidth="1"/>
    <col min="8948" max="8948" width="16.88671875" style="164" bestFit="1" customWidth="1"/>
    <col min="8949" max="8952" width="15.6640625" style="164" customWidth="1"/>
    <col min="8953" max="8953" width="13.6640625" style="164" customWidth="1"/>
    <col min="8954" max="9196" width="8.6640625" style="164"/>
    <col min="9197" max="9197" width="8.88671875" style="164" customWidth="1"/>
    <col min="9198" max="9198" width="15.5546875" style="164" bestFit="1" customWidth="1"/>
    <col min="9199" max="9199" width="34.88671875" style="164" bestFit="1" customWidth="1"/>
    <col min="9200" max="9200" width="15.6640625" style="164" customWidth="1"/>
    <col min="9201" max="9201" width="10.6640625" style="164" customWidth="1"/>
    <col min="9202" max="9202" width="8.6640625" style="164"/>
    <col min="9203" max="9203" width="15.6640625" style="164" customWidth="1"/>
    <col min="9204" max="9204" width="16.88671875" style="164" bestFit="1" customWidth="1"/>
    <col min="9205" max="9208" width="15.6640625" style="164" customWidth="1"/>
    <col min="9209" max="9209" width="13.6640625" style="164" customWidth="1"/>
    <col min="9210" max="9452" width="8.6640625" style="164"/>
    <col min="9453" max="9453" width="8.88671875" style="164" customWidth="1"/>
    <col min="9454" max="9454" width="15.5546875" style="164" bestFit="1" customWidth="1"/>
    <col min="9455" max="9455" width="34.88671875" style="164" bestFit="1" customWidth="1"/>
    <col min="9456" max="9456" width="15.6640625" style="164" customWidth="1"/>
    <col min="9457" max="9457" width="10.6640625" style="164" customWidth="1"/>
    <col min="9458" max="9458" width="8.6640625" style="164"/>
    <col min="9459" max="9459" width="15.6640625" style="164" customWidth="1"/>
    <col min="9460" max="9460" width="16.88671875" style="164" bestFit="1" customWidth="1"/>
    <col min="9461" max="9464" width="15.6640625" style="164" customWidth="1"/>
    <col min="9465" max="9465" width="13.6640625" style="164" customWidth="1"/>
    <col min="9466" max="9708" width="8.6640625" style="164"/>
    <col min="9709" max="9709" width="8.88671875" style="164" customWidth="1"/>
    <col min="9710" max="9710" width="15.5546875" style="164" bestFit="1" customWidth="1"/>
    <col min="9711" max="9711" width="34.88671875" style="164" bestFit="1" customWidth="1"/>
    <col min="9712" max="9712" width="15.6640625" style="164" customWidth="1"/>
    <col min="9713" max="9713" width="10.6640625" style="164" customWidth="1"/>
    <col min="9714" max="9714" width="8.6640625" style="164"/>
    <col min="9715" max="9715" width="15.6640625" style="164" customWidth="1"/>
    <col min="9716" max="9716" width="16.88671875" style="164" bestFit="1" customWidth="1"/>
    <col min="9717" max="9720" width="15.6640625" style="164" customWidth="1"/>
    <col min="9721" max="9721" width="13.6640625" style="164" customWidth="1"/>
    <col min="9722" max="9964" width="8.6640625" style="164"/>
    <col min="9965" max="9965" width="8.88671875" style="164" customWidth="1"/>
    <col min="9966" max="9966" width="15.5546875" style="164" bestFit="1" customWidth="1"/>
    <col min="9967" max="9967" width="34.88671875" style="164" bestFit="1" customWidth="1"/>
    <col min="9968" max="9968" width="15.6640625" style="164" customWidth="1"/>
    <col min="9969" max="9969" width="10.6640625" style="164" customWidth="1"/>
    <col min="9970" max="9970" width="8.6640625" style="164"/>
    <col min="9971" max="9971" width="15.6640625" style="164" customWidth="1"/>
    <col min="9972" max="9972" width="16.88671875" style="164" bestFit="1" customWidth="1"/>
    <col min="9973" max="9976" width="15.6640625" style="164" customWidth="1"/>
    <col min="9977" max="9977" width="13.6640625" style="164" customWidth="1"/>
    <col min="9978" max="10220" width="8.6640625" style="164"/>
    <col min="10221" max="10221" width="8.88671875" style="164" customWidth="1"/>
    <col min="10222" max="10222" width="15.5546875" style="164" bestFit="1" customWidth="1"/>
    <col min="10223" max="10223" width="34.88671875" style="164" bestFit="1" customWidth="1"/>
    <col min="10224" max="10224" width="15.6640625" style="164" customWidth="1"/>
    <col min="10225" max="10225" width="10.6640625" style="164" customWidth="1"/>
    <col min="10226" max="10226" width="8.6640625" style="164"/>
    <col min="10227" max="10227" width="15.6640625" style="164" customWidth="1"/>
    <col min="10228" max="10228" width="16.88671875" style="164" bestFit="1" customWidth="1"/>
    <col min="10229" max="10232" width="15.6640625" style="164" customWidth="1"/>
    <col min="10233" max="10233" width="13.6640625" style="164" customWidth="1"/>
    <col min="10234" max="10476" width="8.6640625" style="164"/>
    <col min="10477" max="10477" width="8.88671875" style="164" customWidth="1"/>
    <col min="10478" max="10478" width="15.5546875" style="164" bestFit="1" customWidth="1"/>
    <col min="10479" max="10479" width="34.88671875" style="164" bestFit="1" customWidth="1"/>
    <col min="10480" max="10480" width="15.6640625" style="164" customWidth="1"/>
    <col min="10481" max="10481" width="10.6640625" style="164" customWidth="1"/>
    <col min="10482" max="10482" width="8.6640625" style="164"/>
    <col min="10483" max="10483" width="15.6640625" style="164" customWidth="1"/>
    <col min="10484" max="10484" width="16.88671875" style="164" bestFit="1" customWidth="1"/>
    <col min="10485" max="10488" width="15.6640625" style="164" customWidth="1"/>
    <col min="10489" max="10489" width="13.6640625" style="164" customWidth="1"/>
    <col min="10490" max="10732" width="8.6640625" style="164"/>
    <col min="10733" max="10733" width="8.88671875" style="164" customWidth="1"/>
    <col min="10734" max="10734" width="15.5546875" style="164" bestFit="1" customWidth="1"/>
    <col min="10735" max="10735" width="34.88671875" style="164" bestFit="1" customWidth="1"/>
    <col min="10736" max="10736" width="15.6640625" style="164" customWidth="1"/>
    <col min="10737" max="10737" width="10.6640625" style="164" customWidth="1"/>
    <col min="10738" max="10738" width="8.6640625" style="164"/>
    <col min="10739" max="10739" width="15.6640625" style="164" customWidth="1"/>
    <col min="10740" max="10740" width="16.88671875" style="164" bestFit="1" customWidth="1"/>
    <col min="10741" max="10744" width="15.6640625" style="164" customWidth="1"/>
    <col min="10745" max="10745" width="13.6640625" style="164" customWidth="1"/>
    <col min="10746" max="10988" width="8.6640625" style="164"/>
    <col min="10989" max="10989" width="8.88671875" style="164" customWidth="1"/>
    <col min="10990" max="10990" width="15.5546875" style="164" bestFit="1" customWidth="1"/>
    <col min="10991" max="10991" width="34.88671875" style="164" bestFit="1" customWidth="1"/>
    <col min="10992" max="10992" width="15.6640625" style="164" customWidth="1"/>
    <col min="10993" max="10993" width="10.6640625" style="164" customWidth="1"/>
    <col min="10994" max="10994" width="8.6640625" style="164"/>
    <col min="10995" max="10995" width="15.6640625" style="164" customWidth="1"/>
    <col min="10996" max="10996" width="16.88671875" style="164" bestFit="1" customWidth="1"/>
    <col min="10997" max="11000" width="15.6640625" style="164" customWidth="1"/>
    <col min="11001" max="11001" width="13.6640625" style="164" customWidth="1"/>
    <col min="11002" max="11244" width="8.6640625" style="164"/>
    <col min="11245" max="11245" width="8.88671875" style="164" customWidth="1"/>
    <col min="11246" max="11246" width="15.5546875" style="164" bestFit="1" customWidth="1"/>
    <col min="11247" max="11247" width="34.88671875" style="164" bestFit="1" customWidth="1"/>
    <col min="11248" max="11248" width="15.6640625" style="164" customWidth="1"/>
    <col min="11249" max="11249" width="10.6640625" style="164" customWidth="1"/>
    <col min="11250" max="11250" width="8.6640625" style="164"/>
    <col min="11251" max="11251" width="15.6640625" style="164" customWidth="1"/>
    <col min="11252" max="11252" width="16.88671875" style="164" bestFit="1" customWidth="1"/>
    <col min="11253" max="11256" width="15.6640625" style="164" customWidth="1"/>
    <col min="11257" max="11257" width="13.6640625" style="164" customWidth="1"/>
    <col min="11258" max="11500" width="8.6640625" style="164"/>
    <col min="11501" max="11501" width="8.88671875" style="164" customWidth="1"/>
    <col min="11502" max="11502" width="15.5546875" style="164" bestFit="1" customWidth="1"/>
    <col min="11503" max="11503" width="34.88671875" style="164" bestFit="1" customWidth="1"/>
    <col min="11504" max="11504" width="15.6640625" style="164" customWidth="1"/>
    <col min="11505" max="11505" width="10.6640625" style="164" customWidth="1"/>
    <col min="11506" max="11506" width="8.6640625" style="164"/>
    <col min="11507" max="11507" width="15.6640625" style="164" customWidth="1"/>
    <col min="11508" max="11508" width="16.88671875" style="164" bestFit="1" customWidth="1"/>
    <col min="11509" max="11512" width="15.6640625" style="164" customWidth="1"/>
    <col min="11513" max="11513" width="13.6640625" style="164" customWidth="1"/>
    <col min="11514" max="11756" width="8.6640625" style="164"/>
    <col min="11757" max="11757" width="8.88671875" style="164" customWidth="1"/>
    <col min="11758" max="11758" width="15.5546875" style="164" bestFit="1" customWidth="1"/>
    <col min="11759" max="11759" width="34.88671875" style="164" bestFit="1" customWidth="1"/>
    <col min="11760" max="11760" width="15.6640625" style="164" customWidth="1"/>
    <col min="11761" max="11761" width="10.6640625" style="164" customWidth="1"/>
    <col min="11762" max="11762" width="8.6640625" style="164"/>
    <col min="11763" max="11763" width="15.6640625" style="164" customWidth="1"/>
    <col min="11764" max="11764" width="16.88671875" style="164" bestFit="1" customWidth="1"/>
    <col min="11765" max="11768" width="15.6640625" style="164" customWidth="1"/>
    <col min="11769" max="11769" width="13.6640625" style="164" customWidth="1"/>
    <col min="11770" max="12012" width="8.6640625" style="164"/>
    <col min="12013" max="12013" width="8.88671875" style="164" customWidth="1"/>
    <col min="12014" max="12014" width="15.5546875" style="164" bestFit="1" customWidth="1"/>
    <col min="12015" max="12015" width="34.88671875" style="164" bestFit="1" customWidth="1"/>
    <col min="12016" max="12016" width="15.6640625" style="164" customWidth="1"/>
    <col min="12017" max="12017" width="10.6640625" style="164" customWidth="1"/>
    <col min="12018" max="12018" width="8.6640625" style="164"/>
    <col min="12019" max="12019" width="15.6640625" style="164" customWidth="1"/>
    <col min="12020" max="12020" width="16.88671875" style="164" bestFit="1" customWidth="1"/>
    <col min="12021" max="12024" width="15.6640625" style="164" customWidth="1"/>
    <col min="12025" max="12025" width="13.6640625" style="164" customWidth="1"/>
    <col min="12026" max="12268" width="8.6640625" style="164"/>
    <col min="12269" max="12269" width="8.88671875" style="164" customWidth="1"/>
    <col min="12270" max="12270" width="15.5546875" style="164" bestFit="1" customWidth="1"/>
    <col min="12271" max="12271" width="34.88671875" style="164" bestFit="1" customWidth="1"/>
    <col min="12272" max="12272" width="15.6640625" style="164" customWidth="1"/>
    <col min="12273" max="12273" width="10.6640625" style="164" customWidth="1"/>
    <col min="12274" max="12274" width="8.6640625" style="164"/>
    <col min="12275" max="12275" width="15.6640625" style="164" customWidth="1"/>
    <col min="12276" max="12276" width="16.88671875" style="164" bestFit="1" customWidth="1"/>
    <col min="12277" max="12280" width="15.6640625" style="164" customWidth="1"/>
    <col min="12281" max="12281" width="13.6640625" style="164" customWidth="1"/>
    <col min="12282" max="12524" width="8.6640625" style="164"/>
    <col min="12525" max="12525" width="8.88671875" style="164" customWidth="1"/>
    <col min="12526" max="12526" width="15.5546875" style="164" bestFit="1" customWidth="1"/>
    <col min="12527" max="12527" width="34.88671875" style="164" bestFit="1" customWidth="1"/>
    <col min="12528" max="12528" width="15.6640625" style="164" customWidth="1"/>
    <col min="12529" max="12529" width="10.6640625" style="164" customWidth="1"/>
    <col min="12530" max="12530" width="8.6640625" style="164"/>
    <col min="12531" max="12531" width="15.6640625" style="164" customWidth="1"/>
    <col min="12532" max="12532" width="16.88671875" style="164" bestFit="1" customWidth="1"/>
    <col min="12533" max="12536" width="15.6640625" style="164" customWidth="1"/>
    <col min="12537" max="12537" width="13.6640625" style="164" customWidth="1"/>
    <col min="12538" max="12780" width="8.6640625" style="164"/>
    <col min="12781" max="12781" width="8.88671875" style="164" customWidth="1"/>
    <col min="12782" max="12782" width="15.5546875" style="164" bestFit="1" customWidth="1"/>
    <col min="12783" max="12783" width="34.88671875" style="164" bestFit="1" customWidth="1"/>
    <col min="12784" max="12784" width="15.6640625" style="164" customWidth="1"/>
    <col min="12785" max="12785" width="10.6640625" style="164" customWidth="1"/>
    <col min="12786" max="12786" width="8.6640625" style="164"/>
    <col min="12787" max="12787" width="15.6640625" style="164" customWidth="1"/>
    <col min="12788" max="12788" width="16.88671875" style="164" bestFit="1" customWidth="1"/>
    <col min="12789" max="12792" width="15.6640625" style="164" customWidth="1"/>
    <col min="12793" max="12793" width="13.6640625" style="164" customWidth="1"/>
    <col min="12794" max="13036" width="8.6640625" style="164"/>
    <col min="13037" max="13037" width="8.88671875" style="164" customWidth="1"/>
    <col min="13038" max="13038" width="15.5546875" style="164" bestFit="1" customWidth="1"/>
    <col min="13039" max="13039" width="34.88671875" style="164" bestFit="1" customWidth="1"/>
    <col min="13040" max="13040" width="15.6640625" style="164" customWidth="1"/>
    <col min="13041" max="13041" width="10.6640625" style="164" customWidth="1"/>
    <col min="13042" max="13042" width="8.6640625" style="164"/>
    <col min="13043" max="13043" width="15.6640625" style="164" customWidth="1"/>
    <col min="13044" max="13044" width="16.88671875" style="164" bestFit="1" customWidth="1"/>
    <col min="13045" max="13048" width="15.6640625" style="164" customWidth="1"/>
    <col min="13049" max="13049" width="13.6640625" style="164" customWidth="1"/>
    <col min="13050" max="13292" width="8.6640625" style="164"/>
    <col min="13293" max="13293" width="8.88671875" style="164" customWidth="1"/>
    <col min="13294" max="13294" width="15.5546875" style="164" bestFit="1" customWidth="1"/>
    <col min="13295" max="13295" width="34.88671875" style="164" bestFit="1" customWidth="1"/>
    <col min="13296" max="13296" width="15.6640625" style="164" customWidth="1"/>
    <col min="13297" max="13297" width="10.6640625" style="164" customWidth="1"/>
    <col min="13298" max="13298" width="8.6640625" style="164"/>
    <col min="13299" max="13299" width="15.6640625" style="164" customWidth="1"/>
    <col min="13300" max="13300" width="16.88671875" style="164" bestFit="1" customWidth="1"/>
    <col min="13301" max="13304" width="15.6640625" style="164" customWidth="1"/>
    <col min="13305" max="13305" width="13.6640625" style="164" customWidth="1"/>
    <col min="13306" max="13548" width="8.6640625" style="164"/>
    <col min="13549" max="13549" width="8.88671875" style="164" customWidth="1"/>
    <col min="13550" max="13550" width="15.5546875" style="164" bestFit="1" customWidth="1"/>
    <col min="13551" max="13551" width="34.88671875" style="164" bestFit="1" customWidth="1"/>
    <col min="13552" max="13552" width="15.6640625" style="164" customWidth="1"/>
    <col min="13553" max="13553" width="10.6640625" style="164" customWidth="1"/>
    <col min="13554" max="13554" width="8.6640625" style="164"/>
    <col min="13555" max="13555" width="15.6640625" style="164" customWidth="1"/>
    <col min="13556" max="13556" width="16.88671875" style="164" bestFit="1" customWidth="1"/>
    <col min="13557" max="13560" width="15.6640625" style="164" customWidth="1"/>
    <col min="13561" max="13561" width="13.6640625" style="164" customWidth="1"/>
    <col min="13562" max="13804" width="8.6640625" style="164"/>
    <col min="13805" max="13805" width="8.88671875" style="164" customWidth="1"/>
    <col min="13806" max="13806" width="15.5546875" style="164" bestFit="1" customWidth="1"/>
    <col min="13807" max="13807" width="34.88671875" style="164" bestFit="1" customWidth="1"/>
    <col min="13808" max="13808" width="15.6640625" style="164" customWidth="1"/>
    <col min="13809" max="13809" width="10.6640625" style="164" customWidth="1"/>
    <col min="13810" max="13810" width="8.6640625" style="164"/>
    <col min="13811" max="13811" width="15.6640625" style="164" customWidth="1"/>
    <col min="13812" max="13812" width="16.88671875" style="164" bestFit="1" customWidth="1"/>
    <col min="13813" max="13816" width="15.6640625" style="164" customWidth="1"/>
    <col min="13817" max="13817" width="13.6640625" style="164" customWidth="1"/>
    <col min="13818" max="14060" width="8.6640625" style="164"/>
    <col min="14061" max="14061" width="8.88671875" style="164" customWidth="1"/>
    <col min="14062" max="14062" width="15.5546875" style="164" bestFit="1" customWidth="1"/>
    <col min="14063" max="14063" width="34.88671875" style="164" bestFit="1" customWidth="1"/>
    <col min="14064" max="14064" width="15.6640625" style="164" customWidth="1"/>
    <col min="14065" max="14065" width="10.6640625" style="164" customWidth="1"/>
    <col min="14066" max="14066" width="8.6640625" style="164"/>
    <col min="14067" max="14067" width="15.6640625" style="164" customWidth="1"/>
    <col min="14068" max="14068" width="16.88671875" style="164" bestFit="1" customWidth="1"/>
    <col min="14069" max="14072" width="15.6640625" style="164" customWidth="1"/>
    <col min="14073" max="14073" width="13.6640625" style="164" customWidth="1"/>
    <col min="14074" max="14316" width="8.6640625" style="164"/>
    <col min="14317" max="14317" width="8.88671875" style="164" customWidth="1"/>
    <col min="14318" max="14318" width="15.5546875" style="164" bestFit="1" customWidth="1"/>
    <col min="14319" max="14319" width="34.88671875" style="164" bestFit="1" customWidth="1"/>
    <col min="14320" max="14320" width="15.6640625" style="164" customWidth="1"/>
    <col min="14321" max="14321" width="10.6640625" style="164" customWidth="1"/>
    <col min="14322" max="14322" width="8.6640625" style="164"/>
    <col min="14323" max="14323" width="15.6640625" style="164" customWidth="1"/>
    <col min="14324" max="14324" width="16.88671875" style="164" bestFit="1" customWidth="1"/>
    <col min="14325" max="14328" width="15.6640625" style="164" customWidth="1"/>
    <col min="14329" max="14329" width="13.6640625" style="164" customWidth="1"/>
    <col min="14330" max="14572" width="8.6640625" style="164"/>
    <col min="14573" max="14573" width="8.88671875" style="164" customWidth="1"/>
    <col min="14574" max="14574" width="15.5546875" style="164" bestFit="1" customWidth="1"/>
    <col min="14575" max="14575" width="34.88671875" style="164" bestFit="1" customWidth="1"/>
    <col min="14576" max="14576" width="15.6640625" style="164" customWidth="1"/>
    <col min="14577" max="14577" width="10.6640625" style="164" customWidth="1"/>
    <col min="14578" max="14578" width="8.6640625" style="164"/>
    <col min="14579" max="14579" width="15.6640625" style="164" customWidth="1"/>
    <col min="14580" max="14580" width="16.88671875" style="164" bestFit="1" customWidth="1"/>
    <col min="14581" max="14584" width="15.6640625" style="164" customWidth="1"/>
    <col min="14585" max="14585" width="13.6640625" style="164" customWidth="1"/>
    <col min="14586" max="14828" width="8.6640625" style="164"/>
    <col min="14829" max="14829" width="8.88671875" style="164" customWidth="1"/>
    <col min="14830" max="14830" width="15.5546875" style="164" bestFit="1" customWidth="1"/>
    <col min="14831" max="14831" width="34.88671875" style="164" bestFit="1" customWidth="1"/>
    <col min="14832" max="14832" width="15.6640625" style="164" customWidth="1"/>
    <col min="14833" max="14833" width="10.6640625" style="164" customWidth="1"/>
    <col min="14834" max="14834" width="8.6640625" style="164"/>
    <col min="14835" max="14835" width="15.6640625" style="164" customWidth="1"/>
    <col min="14836" max="14836" width="16.88671875" style="164" bestFit="1" customWidth="1"/>
    <col min="14837" max="14840" width="15.6640625" style="164" customWidth="1"/>
    <col min="14841" max="14841" width="13.6640625" style="164" customWidth="1"/>
    <col min="14842" max="15084" width="8.6640625" style="164"/>
    <col min="15085" max="15085" width="8.88671875" style="164" customWidth="1"/>
    <col min="15086" max="15086" width="15.5546875" style="164" bestFit="1" customWidth="1"/>
    <col min="15087" max="15087" width="34.88671875" style="164" bestFit="1" customWidth="1"/>
    <col min="15088" max="15088" width="15.6640625" style="164" customWidth="1"/>
    <col min="15089" max="15089" width="10.6640625" style="164" customWidth="1"/>
    <col min="15090" max="15090" width="8.6640625" style="164"/>
    <col min="15091" max="15091" width="15.6640625" style="164" customWidth="1"/>
    <col min="15092" max="15092" width="16.88671875" style="164" bestFit="1" customWidth="1"/>
    <col min="15093" max="15096" width="15.6640625" style="164" customWidth="1"/>
    <col min="15097" max="15097" width="13.6640625" style="164" customWidth="1"/>
    <col min="15098" max="15340" width="8.6640625" style="164"/>
    <col min="15341" max="15341" width="8.88671875" style="164" customWidth="1"/>
    <col min="15342" max="15342" width="15.5546875" style="164" bestFit="1" customWidth="1"/>
    <col min="15343" max="15343" width="34.88671875" style="164" bestFit="1" customWidth="1"/>
    <col min="15344" max="15344" width="15.6640625" style="164" customWidth="1"/>
    <col min="15345" max="15345" width="10.6640625" style="164" customWidth="1"/>
    <col min="15346" max="15346" width="8.6640625" style="164"/>
    <col min="15347" max="15347" width="15.6640625" style="164" customWidth="1"/>
    <col min="15348" max="15348" width="16.88671875" style="164" bestFit="1" customWidth="1"/>
    <col min="15349" max="15352" width="15.6640625" style="164" customWidth="1"/>
    <col min="15353" max="15353" width="13.6640625" style="164" customWidth="1"/>
    <col min="15354" max="15596" width="8.6640625" style="164"/>
    <col min="15597" max="15597" width="8.88671875" style="164" customWidth="1"/>
    <col min="15598" max="15598" width="15.5546875" style="164" bestFit="1" customWidth="1"/>
    <col min="15599" max="15599" width="34.88671875" style="164" bestFit="1" customWidth="1"/>
    <col min="15600" max="15600" width="15.6640625" style="164" customWidth="1"/>
    <col min="15601" max="15601" width="10.6640625" style="164" customWidth="1"/>
    <col min="15602" max="15602" width="8.6640625" style="164"/>
    <col min="15603" max="15603" width="15.6640625" style="164" customWidth="1"/>
    <col min="15604" max="15604" width="16.88671875" style="164" bestFit="1" customWidth="1"/>
    <col min="15605" max="15608" width="15.6640625" style="164" customWidth="1"/>
    <col min="15609" max="15609" width="13.6640625" style="164" customWidth="1"/>
    <col min="15610" max="15852" width="8.6640625" style="164"/>
    <col min="15853" max="15853" width="8.88671875" style="164" customWidth="1"/>
    <col min="15854" max="15854" width="15.5546875" style="164" bestFit="1" customWidth="1"/>
    <col min="15855" max="15855" width="34.88671875" style="164" bestFit="1" customWidth="1"/>
    <col min="15856" max="15856" width="15.6640625" style="164" customWidth="1"/>
    <col min="15857" max="15857" width="10.6640625" style="164" customWidth="1"/>
    <col min="15858" max="15858" width="8.6640625" style="164"/>
    <col min="15859" max="15859" width="15.6640625" style="164" customWidth="1"/>
    <col min="15860" max="15860" width="16.88671875" style="164" bestFit="1" customWidth="1"/>
    <col min="15861" max="15864" width="15.6640625" style="164" customWidth="1"/>
    <col min="15865" max="15865" width="13.6640625" style="164" customWidth="1"/>
    <col min="15866" max="16108" width="8.6640625" style="164"/>
    <col min="16109" max="16109" width="8.88671875" style="164" customWidth="1"/>
    <col min="16110" max="16110" width="15.5546875" style="164" bestFit="1" customWidth="1"/>
    <col min="16111" max="16111" width="34.88671875" style="164" bestFit="1" customWidth="1"/>
    <col min="16112" max="16112" width="15.6640625" style="164" customWidth="1"/>
    <col min="16113" max="16113" width="10.6640625" style="164" customWidth="1"/>
    <col min="16114" max="16114" width="8.6640625" style="164"/>
    <col min="16115" max="16115" width="15.6640625" style="164" customWidth="1"/>
    <col min="16116" max="16116" width="16.88671875" style="164" bestFit="1" customWidth="1"/>
    <col min="16117" max="16120" width="15.6640625" style="164" customWidth="1"/>
    <col min="16121" max="16121" width="13.6640625" style="164" customWidth="1"/>
    <col min="16122" max="16384" width="8.6640625" style="164"/>
  </cols>
  <sheetData>
    <row r="1" spans="1:33" ht="34.950000000000003" customHeight="1" x14ac:dyDescent="0.3"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AD1" s="259" t="s">
        <v>503</v>
      </c>
      <c r="AE1" s="260">
        <v>0.59599999999999997</v>
      </c>
    </row>
    <row r="2" spans="1:33" x14ac:dyDescent="0.3">
      <c r="A2" s="164"/>
      <c r="B2" s="165" t="s">
        <v>77</v>
      </c>
      <c r="C2" s="166">
        <v>43039</v>
      </c>
      <c r="D2" s="166">
        <v>43069</v>
      </c>
      <c r="E2" s="166">
        <v>43100</v>
      </c>
      <c r="F2" s="166">
        <v>43131</v>
      </c>
      <c r="G2" s="166">
        <v>43159</v>
      </c>
      <c r="H2" s="166">
        <v>43190</v>
      </c>
      <c r="I2" s="166">
        <v>43220</v>
      </c>
      <c r="J2" s="166">
        <v>43251</v>
      </c>
      <c r="K2" s="166">
        <v>43281</v>
      </c>
      <c r="L2" s="166">
        <v>43312</v>
      </c>
      <c r="M2" s="166">
        <v>43343</v>
      </c>
      <c r="N2" s="166">
        <v>43373</v>
      </c>
      <c r="O2" s="166">
        <v>43404</v>
      </c>
      <c r="P2" s="166">
        <v>43434</v>
      </c>
      <c r="Q2" s="166">
        <v>43465</v>
      </c>
      <c r="R2" s="165" t="s">
        <v>338</v>
      </c>
      <c r="S2" s="166">
        <v>43524</v>
      </c>
      <c r="T2" s="158">
        <v>43555</v>
      </c>
      <c r="U2" s="158">
        <v>43585</v>
      </c>
      <c r="V2" s="158">
        <v>43616</v>
      </c>
      <c r="W2" s="158">
        <v>43646</v>
      </c>
      <c r="X2" s="158">
        <v>43677</v>
      </c>
      <c r="Y2" s="158">
        <v>44162</v>
      </c>
      <c r="Z2" s="158">
        <v>44286</v>
      </c>
      <c r="AA2" s="159" t="s">
        <v>339</v>
      </c>
      <c r="AB2" s="159" t="s">
        <v>340</v>
      </c>
      <c r="AC2" s="159" t="s">
        <v>341</v>
      </c>
      <c r="AD2" s="183" t="s">
        <v>347</v>
      </c>
      <c r="AE2" s="183" t="s">
        <v>502</v>
      </c>
    </row>
    <row r="3" spans="1:33" ht="14.4" x14ac:dyDescent="0.3">
      <c r="A3" s="160"/>
      <c r="B3" s="167" t="s">
        <v>143</v>
      </c>
      <c r="C3" s="168"/>
      <c r="D3" s="168">
        <v>7144</v>
      </c>
      <c r="E3" s="168">
        <v>11167</v>
      </c>
      <c r="F3" s="168">
        <v>14972</v>
      </c>
      <c r="G3" s="167">
        <v>18593</v>
      </c>
      <c r="H3" s="167">
        <v>21790</v>
      </c>
      <c r="I3" s="169">
        <v>22287</v>
      </c>
      <c r="J3" s="169">
        <v>22287</v>
      </c>
      <c r="K3" s="169">
        <v>22287</v>
      </c>
      <c r="L3" s="169">
        <v>22287</v>
      </c>
      <c r="M3" s="169">
        <v>22287</v>
      </c>
      <c r="N3" s="169">
        <v>22287</v>
      </c>
      <c r="O3" s="169">
        <v>22287</v>
      </c>
      <c r="P3" s="167">
        <v>24170</v>
      </c>
      <c r="Q3" s="167">
        <v>28278</v>
      </c>
      <c r="R3" s="167">
        <v>32759</v>
      </c>
      <c r="S3" s="167">
        <v>35811</v>
      </c>
      <c r="T3" s="170">
        <v>37815</v>
      </c>
      <c r="U3" s="171">
        <v>38506</v>
      </c>
      <c r="V3" s="171">
        <v>39047</v>
      </c>
      <c r="W3" s="171"/>
      <c r="X3" s="171"/>
      <c r="Y3" s="171"/>
      <c r="Z3" s="171">
        <v>175592</v>
      </c>
      <c r="AA3" s="172">
        <f>+P3-D3</f>
        <v>17026</v>
      </c>
      <c r="AB3" s="172">
        <f>+Z3/10</f>
        <v>17559.2</v>
      </c>
      <c r="AC3" s="161">
        <f>+(Z3-H3-100000)/3</f>
        <v>17934</v>
      </c>
      <c r="AD3" s="184">
        <f>+AC3</f>
        <v>17934</v>
      </c>
      <c r="AE3" s="184">
        <f>+AD3*(1+$AE$1)</f>
        <v>28622.664000000001</v>
      </c>
    </row>
    <row r="4" spans="1:33" ht="14.4" x14ac:dyDescent="0.3">
      <c r="A4" s="160"/>
      <c r="B4" s="167" t="s">
        <v>144</v>
      </c>
      <c r="C4" s="173">
        <v>18617</v>
      </c>
      <c r="D4" s="167">
        <v>19209</v>
      </c>
      <c r="E4" s="167">
        <v>20083</v>
      </c>
      <c r="F4" s="167">
        <v>20927</v>
      </c>
      <c r="G4" s="167">
        <v>21696</v>
      </c>
      <c r="H4" s="167">
        <v>22452</v>
      </c>
      <c r="I4" s="167">
        <v>22754</v>
      </c>
      <c r="J4" s="169">
        <v>22754</v>
      </c>
      <c r="K4" s="169">
        <v>22754</v>
      </c>
      <c r="L4" s="169">
        <v>22754</v>
      </c>
      <c r="M4" s="169">
        <v>22754</v>
      </c>
      <c r="N4" s="169">
        <v>22754</v>
      </c>
      <c r="O4" s="169">
        <v>22754</v>
      </c>
      <c r="P4" s="167">
        <v>23029</v>
      </c>
      <c r="Q4" s="167">
        <v>23563</v>
      </c>
      <c r="R4" s="167"/>
      <c r="S4" s="167"/>
      <c r="T4" s="170"/>
      <c r="U4" s="171"/>
      <c r="V4" s="171"/>
      <c r="W4" s="171"/>
      <c r="X4" s="171"/>
      <c r="Y4" s="171"/>
      <c r="Z4" s="171">
        <v>31254</v>
      </c>
      <c r="AA4" s="172">
        <f>+J4-C4</f>
        <v>4137</v>
      </c>
      <c r="AB4" s="172"/>
      <c r="AC4" s="161">
        <f>+(Z4-H4)/3</f>
        <v>2934</v>
      </c>
      <c r="AD4" s="184">
        <f>+AA4</f>
        <v>4137</v>
      </c>
      <c r="AE4" s="184">
        <f t="shared" ref="AE4:AE29" si="0">+AD4*(1+$AE$1)</f>
        <v>6602.652</v>
      </c>
      <c r="AF4" s="164" t="s">
        <v>342</v>
      </c>
    </row>
    <row r="5" spans="1:33" ht="14.4" x14ac:dyDescent="0.3">
      <c r="A5" s="160"/>
      <c r="B5" s="167" t="s">
        <v>145</v>
      </c>
      <c r="C5" s="167"/>
      <c r="D5" s="167"/>
      <c r="E5" s="168">
        <v>5346</v>
      </c>
      <c r="F5" s="174">
        <v>7255</v>
      </c>
      <c r="G5" s="175">
        <v>7882</v>
      </c>
      <c r="H5" s="175">
        <v>8500</v>
      </c>
      <c r="I5" s="175">
        <v>8500</v>
      </c>
      <c r="J5" s="175">
        <v>10635</v>
      </c>
      <c r="K5" s="175">
        <v>10635</v>
      </c>
      <c r="L5" s="175">
        <v>10635</v>
      </c>
      <c r="M5" s="167">
        <v>10604</v>
      </c>
      <c r="N5" s="175">
        <v>10711</v>
      </c>
      <c r="O5" s="175">
        <v>10937</v>
      </c>
      <c r="P5" s="175">
        <v>11463</v>
      </c>
      <c r="Q5" s="175">
        <v>13328</v>
      </c>
      <c r="R5" s="175">
        <v>14662</v>
      </c>
      <c r="S5" s="175">
        <v>16146</v>
      </c>
      <c r="T5" s="176">
        <v>16534</v>
      </c>
      <c r="U5" s="177">
        <v>17089</v>
      </c>
      <c r="V5" s="177">
        <v>17058</v>
      </c>
      <c r="W5" s="171"/>
      <c r="X5" s="171"/>
      <c r="Y5" s="171"/>
      <c r="Z5" s="171">
        <v>24628</v>
      </c>
      <c r="AA5" s="172">
        <f>+Q5-E5</f>
        <v>7982</v>
      </c>
      <c r="AB5" s="172">
        <f>+Z5/5</f>
        <v>4925.6000000000004</v>
      </c>
      <c r="AC5" s="161">
        <f>+(Z5-H5)/3</f>
        <v>5376</v>
      </c>
      <c r="AD5" s="184">
        <f>+AC5</f>
        <v>5376</v>
      </c>
      <c r="AE5" s="184">
        <f t="shared" si="0"/>
        <v>8580.0960000000014</v>
      </c>
      <c r="AF5" s="164" t="s">
        <v>342</v>
      </c>
    </row>
    <row r="6" spans="1:33" ht="14.4" x14ac:dyDescent="0.3">
      <c r="A6" s="160"/>
      <c r="B6" s="167" t="s">
        <v>168</v>
      </c>
      <c r="C6" s="167"/>
      <c r="D6" s="167"/>
      <c r="E6" s="175">
        <v>8008</v>
      </c>
      <c r="F6" s="173">
        <v>9499</v>
      </c>
      <c r="G6" s="175">
        <v>11067</v>
      </c>
      <c r="H6" s="175">
        <v>12594</v>
      </c>
      <c r="I6" s="175">
        <v>12911</v>
      </c>
      <c r="J6" s="175">
        <v>12916</v>
      </c>
      <c r="K6" s="175">
        <v>12918</v>
      </c>
      <c r="L6" s="175">
        <v>12911</v>
      </c>
      <c r="M6" s="175">
        <v>12917</v>
      </c>
      <c r="N6" s="175">
        <v>12921</v>
      </c>
      <c r="O6" s="175">
        <v>13196</v>
      </c>
      <c r="P6" s="173">
        <v>13472</v>
      </c>
      <c r="Q6" s="175">
        <v>14637</v>
      </c>
      <c r="R6" s="175">
        <v>16275</v>
      </c>
      <c r="S6" s="175">
        <v>17269</v>
      </c>
      <c r="T6" s="176">
        <v>18057</v>
      </c>
      <c r="U6" s="177">
        <v>18309</v>
      </c>
      <c r="V6" s="177">
        <v>18333</v>
      </c>
      <c r="W6" s="178"/>
      <c r="X6" s="171"/>
      <c r="Y6" s="171"/>
      <c r="Z6" s="171">
        <v>27055</v>
      </c>
      <c r="AA6" s="172">
        <f>+Q6-E6</f>
        <v>6629</v>
      </c>
      <c r="AB6" s="172">
        <f>+Z6/5</f>
        <v>5411</v>
      </c>
      <c r="AC6" s="161">
        <f>+(Z6-H6)/3</f>
        <v>4820.333333333333</v>
      </c>
      <c r="AD6" s="184">
        <f>+AC6</f>
        <v>4820.333333333333</v>
      </c>
      <c r="AE6" s="184">
        <f t="shared" si="0"/>
        <v>7693.2519999999995</v>
      </c>
      <c r="AF6" s="164" t="s">
        <v>342</v>
      </c>
    </row>
    <row r="7" spans="1:33" ht="14.4" x14ac:dyDescent="0.3">
      <c r="A7" s="160"/>
      <c r="B7" s="167" t="s">
        <v>343</v>
      </c>
      <c r="C7" s="167"/>
      <c r="D7" s="167"/>
      <c r="E7" s="175">
        <v>99270</v>
      </c>
      <c r="F7" s="175">
        <v>1564</v>
      </c>
      <c r="G7" s="175">
        <v>3566</v>
      </c>
      <c r="H7" s="175">
        <v>4357</v>
      </c>
      <c r="I7" s="175">
        <v>5379</v>
      </c>
      <c r="J7" s="175">
        <v>5655</v>
      </c>
      <c r="K7" s="175">
        <v>5672</v>
      </c>
      <c r="L7" s="175">
        <v>5706</v>
      </c>
      <c r="M7" s="175">
        <v>6196</v>
      </c>
      <c r="N7" s="175">
        <v>6487</v>
      </c>
      <c r="O7" s="175">
        <v>6939</v>
      </c>
      <c r="P7" s="175">
        <v>7916</v>
      </c>
      <c r="Q7" s="175">
        <v>9888</v>
      </c>
      <c r="R7" s="175">
        <v>12103</v>
      </c>
      <c r="S7" s="175">
        <v>14011</v>
      </c>
      <c r="T7" s="176">
        <v>14460</v>
      </c>
      <c r="U7" s="177">
        <v>15427</v>
      </c>
      <c r="V7" s="177">
        <v>15265</v>
      </c>
      <c r="W7" s="171"/>
      <c r="X7" s="171"/>
      <c r="Y7" s="171"/>
      <c r="Z7" s="171">
        <v>8753</v>
      </c>
      <c r="AA7" s="172">
        <f>100000-E7+Q7</f>
        <v>10618</v>
      </c>
      <c r="AB7" s="172"/>
      <c r="AC7" s="167"/>
      <c r="AD7" s="184">
        <f>+AA7</f>
        <v>10618</v>
      </c>
      <c r="AE7" s="184">
        <f t="shared" si="0"/>
        <v>16946.328000000001</v>
      </c>
      <c r="AF7" s="164" t="s">
        <v>344</v>
      </c>
    </row>
    <row r="8" spans="1:33" ht="14.4" x14ac:dyDescent="0.3">
      <c r="A8" s="160"/>
      <c r="B8" s="167" t="s">
        <v>146</v>
      </c>
      <c r="C8" s="167"/>
      <c r="D8" s="173">
        <v>15011</v>
      </c>
      <c r="E8" s="175">
        <v>16793</v>
      </c>
      <c r="F8" s="173">
        <v>17967</v>
      </c>
      <c r="G8" s="175">
        <v>19609</v>
      </c>
      <c r="H8" s="175">
        <v>20897</v>
      </c>
      <c r="I8" s="175">
        <v>21636</v>
      </c>
      <c r="J8" s="175">
        <v>21478</v>
      </c>
      <c r="K8" s="175">
        <v>21478</v>
      </c>
      <c r="L8" s="175">
        <v>21478</v>
      </c>
      <c r="M8" s="175">
        <v>21478</v>
      </c>
      <c r="N8" s="175">
        <v>21478</v>
      </c>
      <c r="O8" s="175">
        <v>21801</v>
      </c>
      <c r="P8" s="173">
        <v>22286</v>
      </c>
      <c r="Q8" s="175">
        <v>24236</v>
      </c>
      <c r="R8" s="175">
        <v>26530</v>
      </c>
      <c r="S8" s="175">
        <v>27600</v>
      </c>
      <c r="T8" s="176">
        <v>28323</v>
      </c>
      <c r="U8" s="177">
        <v>28648</v>
      </c>
      <c r="V8" s="177">
        <v>28542</v>
      </c>
      <c r="W8" s="171"/>
      <c r="X8" s="171"/>
      <c r="Y8" s="171">
        <v>34035</v>
      </c>
      <c r="Z8" s="171">
        <v>5608</v>
      </c>
      <c r="AA8" s="172">
        <f>+Q8-E8</f>
        <v>7443</v>
      </c>
      <c r="AB8" s="172">
        <f>+Y8/5</f>
        <v>6807</v>
      </c>
      <c r="AC8" s="161"/>
      <c r="AD8" s="184">
        <f>+AA8</f>
        <v>7443</v>
      </c>
      <c r="AE8" s="184">
        <f t="shared" si="0"/>
        <v>11879.028</v>
      </c>
      <c r="AF8" s="164" t="s">
        <v>345</v>
      </c>
    </row>
    <row r="9" spans="1:33" ht="14.4" x14ac:dyDescent="0.3">
      <c r="A9" s="160"/>
      <c r="B9" s="167" t="s">
        <v>350</v>
      </c>
      <c r="C9" s="167"/>
      <c r="D9" s="173"/>
      <c r="E9" s="175"/>
      <c r="F9" s="173"/>
      <c r="G9" s="175"/>
      <c r="H9" s="175"/>
      <c r="I9" s="175"/>
      <c r="J9" s="175"/>
      <c r="K9" s="175"/>
      <c r="L9" s="175"/>
      <c r="M9" s="175"/>
      <c r="N9" s="175"/>
      <c r="O9" s="175"/>
      <c r="P9" s="173"/>
      <c r="Q9" s="175"/>
      <c r="R9" s="175"/>
      <c r="S9" s="175"/>
      <c r="T9" s="176"/>
      <c r="U9" s="177"/>
      <c r="V9" s="177"/>
      <c r="W9" s="171"/>
      <c r="X9" s="171"/>
      <c r="Y9" s="171"/>
      <c r="Z9" s="171"/>
      <c r="AA9" s="172"/>
      <c r="AB9" s="172"/>
      <c r="AC9" s="161"/>
      <c r="AD9" s="184">
        <f>+$AA$10/2</f>
        <v>8860</v>
      </c>
      <c r="AE9" s="184">
        <f t="shared" si="0"/>
        <v>14140.560000000001</v>
      </c>
    </row>
    <row r="10" spans="1:33" ht="14.4" x14ac:dyDescent="0.3">
      <c r="A10" s="160"/>
      <c r="B10" s="167" t="s">
        <v>148</v>
      </c>
      <c r="C10" s="167"/>
      <c r="D10" s="167">
        <v>31140</v>
      </c>
      <c r="E10" s="167">
        <v>35108</v>
      </c>
      <c r="F10" s="167">
        <v>38023</v>
      </c>
      <c r="G10" s="167">
        <v>42034</v>
      </c>
      <c r="H10" s="167">
        <v>45221</v>
      </c>
      <c r="I10" s="167">
        <v>46144</v>
      </c>
      <c r="J10" s="167">
        <v>46461</v>
      </c>
      <c r="K10" s="167">
        <v>46720</v>
      </c>
      <c r="L10" s="167">
        <v>46894</v>
      </c>
      <c r="M10" s="167">
        <v>47058</v>
      </c>
      <c r="N10" s="167">
        <v>47265</v>
      </c>
      <c r="O10" s="167">
        <v>47719</v>
      </c>
      <c r="P10" s="167">
        <v>48860</v>
      </c>
      <c r="Q10" s="167">
        <v>52500</v>
      </c>
      <c r="R10" s="167">
        <v>56737</v>
      </c>
      <c r="S10" s="167">
        <v>59535</v>
      </c>
      <c r="T10" s="179">
        <v>61112</v>
      </c>
      <c r="U10" s="171">
        <v>61991</v>
      </c>
      <c r="V10" s="178">
        <v>62439</v>
      </c>
      <c r="W10" s="178">
        <v>62676</v>
      </c>
      <c r="X10" s="171"/>
      <c r="Y10" s="171"/>
      <c r="Z10" s="171"/>
      <c r="AA10" s="172">
        <f>+P10-D10</f>
        <v>17720</v>
      </c>
      <c r="AB10" s="172"/>
      <c r="AC10" s="167"/>
      <c r="AD10" s="184">
        <f>+$AA$10/2</f>
        <v>8860</v>
      </c>
      <c r="AE10" s="184">
        <f t="shared" si="0"/>
        <v>14140.560000000001</v>
      </c>
    </row>
    <row r="11" spans="1:33" s="180" customFormat="1" ht="14.4" x14ac:dyDescent="0.3">
      <c r="A11" s="160"/>
      <c r="B11" s="167" t="s">
        <v>149</v>
      </c>
      <c r="C11" s="167"/>
      <c r="D11" s="167">
        <v>39900</v>
      </c>
      <c r="E11" s="167">
        <v>43914</v>
      </c>
      <c r="F11" s="167">
        <v>47588</v>
      </c>
      <c r="G11" s="167">
        <v>51271</v>
      </c>
      <c r="H11" s="167">
        <v>54526</v>
      </c>
      <c r="I11" s="167">
        <v>55710</v>
      </c>
      <c r="J11" s="167">
        <v>55909</v>
      </c>
      <c r="K11" s="167">
        <v>56021</v>
      </c>
      <c r="L11" s="167">
        <v>56162</v>
      </c>
      <c r="M11" s="167">
        <v>56166</v>
      </c>
      <c r="N11" s="167">
        <v>56344</v>
      </c>
      <c r="O11" s="167"/>
      <c r="P11" s="167"/>
      <c r="Q11" s="167"/>
      <c r="R11" s="167"/>
      <c r="S11" s="167"/>
      <c r="T11" s="170"/>
      <c r="U11" s="171"/>
      <c r="V11" s="171"/>
      <c r="W11" s="171"/>
      <c r="X11" s="171"/>
      <c r="Y11" s="171"/>
      <c r="Z11" s="171">
        <v>193769</v>
      </c>
      <c r="AA11" s="172">
        <f>+N11-D11</f>
        <v>16444</v>
      </c>
      <c r="AB11" s="172">
        <f>+Z11/10</f>
        <v>19376.900000000001</v>
      </c>
      <c r="AC11" s="161">
        <f>+(Z11-100000-H11)/3</f>
        <v>13081</v>
      </c>
      <c r="AD11" s="184">
        <f>+AA11</f>
        <v>16444</v>
      </c>
      <c r="AE11" s="184">
        <f t="shared" si="0"/>
        <v>26244.624</v>
      </c>
      <c r="AF11" s="164" t="s">
        <v>342</v>
      </c>
      <c r="AG11" s="164"/>
    </row>
    <row r="12" spans="1:33" s="180" customFormat="1" ht="14.4" x14ac:dyDescent="0.3">
      <c r="A12" s="160"/>
      <c r="B12" s="167" t="s">
        <v>150</v>
      </c>
      <c r="C12" s="167"/>
      <c r="D12" s="167"/>
      <c r="E12" s="175">
        <v>6200</v>
      </c>
      <c r="F12" s="175">
        <v>7265</v>
      </c>
      <c r="G12" s="175">
        <v>7685</v>
      </c>
      <c r="H12" s="175">
        <v>8099</v>
      </c>
      <c r="I12" s="175">
        <v>8121</v>
      </c>
      <c r="J12" s="175">
        <v>8825</v>
      </c>
      <c r="K12" s="167">
        <v>8808</v>
      </c>
      <c r="L12" s="167">
        <v>8808</v>
      </c>
      <c r="M12" s="167">
        <v>8808</v>
      </c>
      <c r="N12" s="175">
        <v>8851</v>
      </c>
      <c r="O12" s="175">
        <v>9063</v>
      </c>
      <c r="P12" s="167">
        <v>9174</v>
      </c>
      <c r="Q12" s="167">
        <v>9954</v>
      </c>
      <c r="R12" s="175">
        <v>10485</v>
      </c>
      <c r="S12" s="167">
        <v>11502</v>
      </c>
      <c r="T12" s="170">
        <v>11938</v>
      </c>
      <c r="U12" s="171">
        <v>12136</v>
      </c>
      <c r="V12" s="177">
        <v>12175</v>
      </c>
      <c r="W12" s="171"/>
      <c r="X12" s="171"/>
      <c r="Y12" s="171"/>
      <c r="Z12" s="171">
        <v>18567</v>
      </c>
      <c r="AA12" s="172">
        <f>+Q12-E12</f>
        <v>3754</v>
      </c>
      <c r="AB12" s="172">
        <f>+Z12/6</f>
        <v>3094.5</v>
      </c>
      <c r="AC12" s="161">
        <f t="shared" ref="AC12:AC21" si="1">+(Z12-H12)/3</f>
        <v>3489.3333333333335</v>
      </c>
      <c r="AD12" s="184">
        <f>+AC12</f>
        <v>3489.3333333333335</v>
      </c>
      <c r="AE12" s="184">
        <f t="shared" si="0"/>
        <v>5568.9760000000006</v>
      </c>
      <c r="AF12" s="164"/>
      <c r="AG12" s="164"/>
    </row>
    <row r="13" spans="1:33" s="180" customFormat="1" ht="14.4" x14ac:dyDescent="0.3">
      <c r="A13" s="160"/>
      <c r="B13" s="167" t="s">
        <v>151</v>
      </c>
      <c r="C13" s="167"/>
      <c r="D13" s="167"/>
      <c r="E13" s="175">
        <v>8876</v>
      </c>
      <c r="F13" s="175">
        <v>10548</v>
      </c>
      <c r="G13" s="175">
        <v>11044</v>
      </c>
      <c r="H13" s="175">
        <v>11533</v>
      </c>
      <c r="I13" s="175">
        <v>11689</v>
      </c>
      <c r="J13" s="175">
        <v>12611</v>
      </c>
      <c r="K13" s="167">
        <v>12588</v>
      </c>
      <c r="L13" s="167">
        <v>12588</v>
      </c>
      <c r="M13" s="167">
        <v>12588</v>
      </c>
      <c r="N13" s="175">
        <v>12648</v>
      </c>
      <c r="O13" s="175">
        <v>12955</v>
      </c>
      <c r="P13" s="173">
        <v>12941</v>
      </c>
      <c r="Q13" s="167">
        <v>13936</v>
      </c>
      <c r="R13" s="175">
        <v>15211</v>
      </c>
      <c r="S13" s="175">
        <v>15933</v>
      </c>
      <c r="T13" s="176">
        <v>16432</v>
      </c>
      <c r="U13" s="177">
        <v>16645</v>
      </c>
      <c r="V13" s="177">
        <v>16747</v>
      </c>
      <c r="W13" s="171"/>
      <c r="X13" s="171"/>
      <c r="Y13" s="171"/>
      <c r="Z13" s="171">
        <v>25290</v>
      </c>
      <c r="AA13" s="172">
        <f>+Q13-E13</f>
        <v>5060</v>
      </c>
      <c r="AB13" s="172">
        <f>+Z13/6</f>
        <v>4215</v>
      </c>
      <c r="AC13" s="161">
        <f t="shared" si="1"/>
        <v>4585.666666666667</v>
      </c>
      <c r="AD13" s="184">
        <f>+AC13</f>
        <v>4585.666666666667</v>
      </c>
      <c r="AE13" s="184">
        <f t="shared" si="0"/>
        <v>7318.7240000000011</v>
      </c>
      <c r="AF13" s="164"/>
      <c r="AG13" s="164"/>
    </row>
    <row r="14" spans="1:33" s="180" customFormat="1" ht="14.4" x14ac:dyDescent="0.3">
      <c r="A14" s="160"/>
      <c r="B14" s="167" t="s">
        <v>152</v>
      </c>
      <c r="C14" s="167"/>
      <c r="D14" s="173">
        <v>13628</v>
      </c>
      <c r="E14" s="175">
        <v>14756</v>
      </c>
      <c r="F14" s="175">
        <v>16182</v>
      </c>
      <c r="G14" s="175">
        <v>17427</v>
      </c>
      <c r="H14" s="175">
        <v>18437</v>
      </c>
      <c r="I14" s="175">
        <v>19170</v>
      </c>
      <c r="J14" s="175">
        <v>19218</v>
      </c>
      <c r="K14" s="175">
        <v>19290</v>
      </c>
      <c r="L14" s="175">
        <v>19344</v>
      </c>
      <c r="M14" s="175">
        <v>19395</v>
      </c>
      <c r="N14" s="175">
        <v>19395</v>
      </c>
      <c r="O14" s="175">
        <v>19640</v>
      </c>
      <c r="P14" s="175">
        <v>20373</v>
      </c>
      <c r="Q14" s="175">
        <v>21625</v>
      </c>
      <c r="R14" s="175">
        <v>23656</v>
      </c>
      <c r="S14" s="175">
        <v>24805</v>
      </c>
      <c r="T14" s="176">
        <v>25784</v>
      </c>
      <c r="U14" s="177">
        <v>26265</v>
      </c>
      <c r="V14" s="177">
        <v>26650</v>
      </c>
      <c r="W14" s="171"/>
      <c r="X14" s="171"/>
      <c r="Y14" s="171"/>
      <c r="Z14" s="171">
        <v>39967</v>
      </c>
      <c r="AA14" s="172">
        <f>+Q14-E14</f>
        <v>6869</v>
      </c>
      <c r="AB14" s="172">
        <f>+Z14/6</f>
        <v>6661.166666666667</v>
      </c>
      <c r="AC14" s="161">
        <f t="shared" si="1"/>
        <v>7176.666666666667</v>
      </c>
      <c r="AD14" s="184">
        <f>+AC14</f>
        <v>7176.666666666667</v>
      </c>
      <c r="AE14" s="184">
        <f t="shared" si="0"/>
        <v>11453.960000000001</v>
      </c>
      <c r="AF14" s="164"/>
      <c r="AG14" s="164"/>
    </row>
    <row r="15" spans="1:33" s="180" customFormat="1" ht="14.4" x14ac:dyDescent="0.3">
      <c r="A15" s="160"/>
      <c r="B15" s="167" t="s">
        <v>153</v>
      </c>
      <c r="C15" s="167"/>
      <c r="D15" s="167">
        <v>29815</v>
      </c>
      <c r="E15" s="167">
        <v>31153</v>
      </c>
      <c r="F15" s="167">
        <v>32494</v>
      </c>
      <c r="G15" s="167">
        <v>33805</v>
      </c>
      <c r="H15" s="167">
        <v>35026</v>
      </c>
      <c r="I15" s="167">
        <v>35495</v>
      </c>
      <c r="J15" s="167">
        <v>35666</v>
      </c>
      <c r="K15" s="167">
        <v>35820</v>
      </c>
      <c r="L15" s="167">
        <v>35951</v>
      </c>
      <c r="M15" s="167">
        <v>36118</v>
      </c>
      <c r="N15" s="167">
        <v>36118</v>
      </c>
      <c r="O15" s="175">
        <v>36697</v>
      </c>
      <c r="P15" s="167">
        <v>37379</v>
      </c>
      <c r="Q15" s="167">
        <v>38845</v>
      </c>
      <c r="R15" s="167">
        <v>40574</v>
      </c>
      <c r="S15" s="167">
        <v>41820</v>
      </c>
      <c r="T15" s="170">
        <v>42769</v>
      </c>
      <c r="U15" s="171">
        <v>43274</v>
      </c>
      <c r="V15" s="171">
        <v>43833</v>
      </c>
      <c r="W15" s="171"/>
      <c r="X15" s="171"/>
      <c r="Y15" s="171"/>
      <c r="Z15" s="171">
        <v>57552</v>
      </c>
      <c r="AA15" s="172">
        <f t="shared" ref="AA15:AA27" si="2">+Q15-E15</f>
        <v>7692</v>
      </c>
      <c r="AB15" s="172">
        <f t="shared" ref="AB15:AB20" si="3">+Z15/7</f>
        <v>8221.7142857142862</v>
      </c>
      <c r="AC15" s="161">
        <f t="shared" si="1"/>
        <v>7508.666666666667</v>
      </c>
      <c r="AD15" s="184">
        <f>+AB15</f>
        <v>8221.7142857142862</v>
      </c>
      <c r="AE15" s="184">
        <f t="shared" si="0"/>
        <v>13121.856000000002</v>
      </c>
      <c r="AF15" s="164"/>
      <c r="AG15" s="164"/>
    </row>
    <row r="16" spans="1:33" s="180" customFormat="1" ht="14.4" x14ac:dyDescent="0.3">
      <c r="A16" s="160"/>
      <c r="B16" s="167" t="s">
        <v>154</v>
      </c>
      <c r="C16" s="167"/>
      <c r="D16" s="167">
        <v>52554</v>
      </c>
      <c r="E16" s="167">
        <v>56635</v>
      </c>
      <c r="F16" s="167">
        <v>60255</v>
      </c>
      <c r="G16" s="167">
        <v>64038</v>
      </c>
      <c r="H16" s="167">
        <v>67418</v>
      </c>
      <c r="I16" s="167">
        <v>68146</v>
      </c>
      <c r="J16" s="167">
        <v>68146</v>
      </c>
      <c r="K16" s="167">
        <v>68146</v>
      </c>
      <c r="L16" s="167">
        <v>68146</v>
      </c>
      <c r="M16" s="167">
        <v>68146</v>
      </c>
      <c r="N16" s="167">
        <v>68146</v>
      </c>
      <c r="O16" s="175">
        <v>68775</v>
      </c>
      <c r="P16" s="167">
        <v>70733</v>
      </c>
      <c r="Q16" s="167">
        <v>74937</v>
      </c>
      <c r="R16" s="167">
        <v>79475</v>
      </c>
      <c r="S16" s="167">
        <v>82795</v>
      </c>
      <c r="T16" s="170">
        <v>85362</v>
      </c>
      <c r="U16" s="171">
        <v>86445</v>
      </c>
      <c r="V16" s="171">
        <v>87267</v>
      </c>
      <c r="W16" s="171"/>
      <c r="X16" s="171"/>
      <c r="Y16" s="171"/>
      <c r="Z16" s="171">
        <v>112627</v>
      </c>
      <c r="AA16" s="172">
        <f t="shared" si="2"/>
        <v>18302</v>
      </c>
      <c r="AB16" s="172">
        <f t="shared" si="3"/>
        <v>16089.571428571429</v>
      </c>
      <c r="AC16" s="161">
        <f t="shared" si="1"/>
        <v>15069.666666666666</v>
      </c>
      <c r="AD16" s="184">
        <f>+AA16</f>
        <v>18302</v>
      </c>
      <c r="AE16" s="184">
        <f t="shared" si="0"/>
        <v>29209.992000000002</v>
      </c>
      <c r="AF16" s="164" t="s">
        <v>342</v>
      </c>
      <c r="AG16" s="164"/>
    </row>
    <row r="17" spans="1:33" s="180" customFormat="1" ht="14.4" x14ac:dyDescent="0.3">
      <c r="A17" s="160"/>
      <c r="B17" s="167" t="s">
        <v>155</v>
      </c>
      <c r="C17" s="167"/>
      <c r="D17" s="167">
        <v>24744</v>
      </c>
      <c r="E17" s="167">
        <v>26055</v>
      </c>
      <c r="F17" s="167">
        <v>27510</v>
      </c>
      <c r="G17" s="167">
        <v>28872</v>
      </c>
      <c r="H17" s="167">
        <v>29834</v>
      </c>
      <c r="I17" s="167">
        <v>29990</v>
      </c>
      <c r="J17" s="167">
        <v>29990</v>
      </c>
      <c r="K17" s="167">
        <v>29990</v>
      </c>
      <c r="L17" s="167">
        <v>29990</v>
      </c>
      <c r="M17" s="167">
        <v>29990</v>
      </c>
      <c r="N17" s="167">
        <v>29990</v>
      </c>
      <c r="O17" s="175">
        <v>30103</v>
      </c>
      <c r="P17" s="167">
        <v>30673</v>
      </c>
      <c r="Q17" s="167">
        <v>30866</v>
      </c>
      <c r="R17" s="167">
        <v>31746</v>
      </c>
      <c r="S17" s="167">
        <v>34414</v>
      </c>
      <c r="T17" s="170">
        <v>35140</v>
      </c>
      <c r="U17" s="171">
        <v>35378</v>
      </c>
      <c r="V17" s="171">
        <v>35574</v>
      </c>
      <c r="W17" s="171"/>
      <c r="X17" s="171"/>
      <c r="Y17" s="171"/>
      <c r="Z17" s="171">
        <v>47426</v>
      </c>
      <c r="AA17" s="172">
        <f t="shared" si="2"/>
        <v>4811</v>
      </c>
      <c r="AB17" s="172">
        <f t="shared" si="3"/>
        <v>6775.1428571428569</v>
      </c>
      <c r="AC17" s="162">
        <f t="shared" si="1"/>
        <v>5864</v>
      </c>
      <c r="AD17" s="184">
        <f>+AB17</f>
        <v>6775.1428571428569</v>
      </c>
      <c r="AE17" s="184">
        <f t="shared" si="0"/>
        <v>10813.128000000001</v>
      </c>
      <c r="AF17" s="164"/>
      <c r="AG17" s="164"/>
    </row>
    <row r="18" spans="1:33" ht="14.4" x14ac:dyDescent="0.3">
      <c r="A18" s="160"/>
      <c r="B18" s="167" t="s">
        <v>156</v>
      </c>
      <c r="C18" s="167"/>
      <c r="D18" s="167">
        <v>55459</v>
      </c>
      <c r="E18" s="167">
        <v>59663</v>
      </c>
      <c r="F18" s="167">
        <v>63403</v>
      </c>
      <c r="G18" s="167">
        <v>66963</v>
      </c>
      <c r="H18" s="167">
        <v>70359</v>
      </c>
      <c r="I18" s="167">
        <v>71116</v>
      </c>
      <c r="J18" s="167">
        <v>71116</v>
      </c>
      <c r="K18" s="167">
        <v>71116</v>
      </c>
      <c r="L18" s="167">
        <v>71116</v>
      </c>
      <c r="M18" s="167">
        <v>71116</v>
      </c>
      <c r="N18" s="167">
        <v>71116</v>
      </c>
      <c r="O18" s="175">
        <v>71730</v>
      </c>
      <c r="P18" s="167">
        <v>72804</v>
      </c>
      <c r="Q18" s="167">
        <v>76837</v>
      </c>
      <c r="R18" s="167">
        <v>82349</v>
      </c>
      <c r="S18" s="167">
        <v>86000</v>
      </c>
      <c r="T18" s="170">
        <v>88494</v>
      </c>
      <c r="U18" s="171">
        <v>89450</v>
      </c>
      <c r="V18" s="171">
        <v>89973</v>
      </c>
      <c r="W18" s="171"/>
      <c r="X18" s="171"/>
      <c r="Y18" s="171"/>
      <c r="Z18" s="171">
        <v>110685</v>
      </c>
      <c r="AA18" s="172">
        <f t="shared" si="2"/>
        <v>17174</v>
      </c>
      <c r="AB18" s="172">
        <f t="shared" si="3"/>
        <v>15812.142857142857</v>
      </c>
      <c r="AC18" s="162">
        <f t="shared" si="1"/>
        <v>13442</v>
      </c>
      <c r="AD18" s="184">
        <f>+AB18</f>
        <v>15812.142857142857</v>
      </c>
      <c r="AE18" s="184">
        <f t="shared" si="0"/>
        <v>25236.18</v>
      </c>
      <c r="AF18" s="164" t="s">
        <v>342</v>
      </c>
    </row>
    <row r="19" spans="1:33" ht="14.4" x14ac:dyDescent="0.3">
      <c r="A19" s="160"/>
      <c r="B19" s="167" t="s">
        <v>157</v>
      </c>
      <c r="C19" s="167"/>
      <c r="D19" s="167">
        <v>27369</v>
      </c>
      <c r="E19" s="167">
        <v>29301</v>
      </c>
      <c r="F19" s="167">
        <v>31075</v>
      </c>
      <c r="G19" s="167">
        <v>32906</v>
      </c>
      <c r="H19" s="167">
        <v>34484</v>
      </c>
      <c r="I19" s="167">
        <v>34941</v>
      </c>
      <c r="J19" s="167">
        <v>34941</v>
      </c>
      <c r="K19" s="167">
        <v>34941</v>
      </c>
      <c r="L19" s="167">
        <v>34941</v>
      </c>
      <c r="M19" s="167">
        <v>34941</v>
      </c>
      <c r="N19" s="167">
        <v>34941</v>
      </c>
      <c r="O19" s="175">
        <v>35279</v>
      </c>
      <c r="P19" s="167">
        <v>36298</v>
      </c>
      <c r="Q19" s="167">
        <v>38127</v>
      </c>
      <c r="R19" s="167">
        <v>40269</v>
      </c>
      <c r="S19" s="167">
        <v>41676</v>
      </c>
      <c r="T19" s="170">
        <v>42734</v>
      </c>
      <c r="U19" s="171">
        <v>43228</v>
      </c>
      <c r="V19" s="171">
        <v>43738</v>
      </c>
      <c r="W19" s="171"/>
      <c r="X19" s="171"/>
      <c r="Y19" s="171"/>
      <c r="Z19" s="171">
        <v>58188</v>
      </c>
      <c r="AA19" s="172">
        <f t="shared" si="2"/>
        <v>8826</v>
      </c>
      <c r="AB19" s="172">
        <f t="shared" si="3"/>
        <v>8312.5714285714294</v>
      </c>
      <c r="AC19" s="161">
        <f t="shared" si="1"/>
        <v>7901.333333333333</v>
      </c>
      <c r="AD19" s="184">
        <f>+AB19</f>
        <v>8312.5714285714294</v>
      </c>
      <c r="AE19" s="184">
        <f t="shared" si="0"/>
        <v>13266.864000000001</v>
      </c>
      <c r="AF19" s="164" t="s">
        <v>342</v>
      </c>
    </row>
    <row r="20" spans="1:33" ht="14.4" x14ac:dyDescent="0.3">
      <c r="A20" s="160"/>
      <c r="B20" s="167" t="s">
        <v>158</v>
      </c>
      <c r="C20" s="167"/>
      <c r="D20" s="167">
        <v>19517</v>
      </c>
      <c r="E20" s="167">
        <v>21150</v>
      </c>
      <c r="F20" s="167">
        <v>22587</v>
      </c>
      <c r="G20" s="167">
        <v>23903</v>
      </c>
      <c r="H20" s="167">
        <v>24929</v>
      </c>
      <c r="I20" s="167">
        <v>25130</v>
      </c>
      <c r="J20" s="167">
        <v>25130</v>
      </c>
      <c r="K20" s="167">
        <v>25130</v>
      </c>
      <c r="L20" s="167">
        <v>25130</v>
      </c>
      <c r="M20" s="167">
        <v>25130</v>
      </c>
      <c r="N20" s="167">
        <v>25130</v>
      </c>
      <c r="O20" s="175">
        <v>25343</v>
      </c>
      <c r="P20" s="167">
        <v>26052</v>
      </c>
      <c r="Q20" s="167">
        <v>27232</v>
      </c>
      <c r="R20" s="167">
        <v>28982</v>
      </c>
      <c r="S20" s="167">
        <v>30170</v>
      </c>
      <c r="T20" s="170">
        <v>31031</v>
      </c>
      <c r="U20" s="171">
        <v>31318</v>
      </c>
      <c r="V20" s="171">
        <v>31609</v>
      </c>
      <c r="W20" s="171"/>
      <c r="X20" s="171"/>
      <c r="Y20" s="171"/>
      <c r="Z20" s="171">
        <v>43897</v>
      </c>
      <c r="AA20" s="172">
        <f t="shared" si="2"/>
        <v>6082</v>
      </c>
      <c r="AB20" s="172">
        <f t="shared" si="3"/>
        <v>6271</v>
      </c>
      <c r="AC20" s="161">
        <f t="shared" si="1"/>
        <v>6322.666666666667</v>
      </c>
      <c r="AD20" s="184">
        <f>+AB20</f>
        <v>6271</v>
      </c>
      <c r="AE20" s="184">
        <f t="shared" si="0"/>
        <v>10008.516000000001</v>
      </c>
    </row>
    <row r="21" spans="1:33" ht="14.4" x14ac:dyDescent="0.3">
      <c r="A21" s="160"/>
      <c r="B21" s="167" t="s">
        <v>159</v>
      </c>
      <c r="C21" s="167"/>
      <c r="D21" s="167">
        <v>159763</v>
      </c>
      <c r="E21" s="167">
        <v>169547</v>
      </c>
      <c r="F21" s="167">
        <v>178245</v>
      </c>
      <c r="G21" s="167">
        <v>187144</v>
      </c>
      <c r="H21" s="167">
        <v>194183</v>
      </c>
      <c r="I21" s="167">
        <v>195460</v>
      </c>
      <c r="J21" s="167">
        <v>195462</v>
      </c>
      <c r="K21" s="167">
        <v>195462</v>
      </c>
      <c r="L21" s="167">
        <v>195462</v>
      </c>
      <c r="M21" s="167">
        <v>195462</v>
      </c>
      <c r="N21" s="167">
        <v>195462</v>
      </c>
      <c r="O21" s="167">
        <v>196213</v>
      </c>
      <c r="P21" s="167">
        <v>201002</v>
      </c>
      <c r="Q21" s="167">
        <v>208334</v>
      </c>
      <c r="R21" s="167">
        <v>218360</v>
      </c>
      <c r="S21" s="167">
        <v>224986</v>
      </c>
      <c r="T21" s="170">
        <v>2228488</v>
      </c>
      <c r="U21" s="171">
        <v>230393</v>
      </c>
      <c r="V21" s="171">
        <v>231305</v>
      </c>
      <c r="W21" s="171"/>
      <c r="X21" s="171"/>
      <c r="Y21" s="171"/>
      <c r="Z21" s="171">
        <v>322884</v>
      </c>
      <c r="AA21" s="172">
        <f t="shared" si="2"/>
        <v>38787</v>
      </c>
      <c r="AB21" s="172">
        <f>+Z21/9</f>
        <v>35876</v>
      </c>
      <c r="AC21" s="161">
        <f t="shared" si="1"/>
        <v>42900.333333333336</v>
      </c>
      <c r="AD21" s="184">
        <f>+AC21</f>
        <v>42900.333333333336</v>
      </c>
      <c r="AE21" s="184">
        <f t="shared" si="0"/>
        <v>68468.932000000001</v>
      </c>
    </row>
    <row r="22" spans="1:33" ht="14.4" x14ac:dyDescent="0.3">
      <c r="A22" s="160"/>
      <c r="B22" s="167" t="s">
        <v>160</v>
      </c>
      <c r="C22" s="167"/>
      <c r="D22" s="167">
        <v>95911</v>
      </c>
      <c r="E22" s="167">
        <v>106127</v>
      </c>
      <c r="F22" s="167">
        <v>114137</v>
      </c>
      <c r="G22" s="167">
        <v>123078</v>
      </c>
      <c r="H22" s="167">
        <v>130426</v>
      </c>
      <c r="I22" s="167">
        <v>132250</v>
      </c>
      <c r="J22" s="167">
        <v>132250</v>
      </c>
      <c r="K22" s="167">
        <v>132250</v>
      </c>
      <c r="L22" s="167">
        <v>132258</v>
      </c>
      <c r="M22" s="167">
        <v>132278</v>
      </c>
      <c r="N22" s="167">
        <v>132305</v>
      </c>
      <c r="O22" s="167">
        <v>133251</v>
      </c>
      <c r="P22" s="167">
        <v>137519</v>
      </c>
      <c r="Q22" s="167">
        <v>147210</v>
      </c>
      <c r="R22" s="167">
        <v>157848</v>
      </c>
      <c r="S22" s="167">
        <v>164238</v>
      </c>
      <c r="T22" s="179">
        <v>169143</v>
      </c>
      <c r="U22" s="171">
        <v>170984</v>
      </c>
      <c r="V22" s="178">
        <v>172313</v>
      </c>
      <c r="W22" s="178"/>
      <c r="X22" s="171"/>
      <c r="Y22" s="171"/>
      <c r="Z22" s="171">
        <v>487871</v>
      </c>
      <c r="AA22" s="172">
        <f t="shared" si="2"/>
        <v>41083</v>
      </c>
      <c r="AB22" s="172">
        <f>+Z22/12</f>
        <v>40655.916666666664</v>
      </c>
      <c r="AC22" s="161"/>
      <c r="AD22" s="184">
        <f>+AB22</f>
        <v>40655.916666666664</v>
      </c>
      <c r="AE22" s="184">
        <f t="shared" si="0"/>
        <v>64886.843000000001</v>
      </c>
    </row>
    <row r="23" spans="1:33" ht="14.4" x14ac:dyDescent="0.3">
      <c r="A23" s="160"/>
      <c r="B23" s="167" t="s">
        <v>161</v>
      </c>
      <c r="C23" s="167"/>
      <c r="D23" s="167"/>
      <c r="E23" s="175">
        <v>1098</v>
      </c>
      <c r="F23" s="173">
        <v>9499</v>
      </c>
      <c r="G23" s="175">
        <v>11067</v>
      </c>
      <c r="H23" s="175">
        <v>11758</v>
      </c>
      <c r="I23" s="175">
        <v>1233</v>
      </c>
      <c r="J23" s="175">
        <v>1270</v>
      </c>
      <c r="K23" s="175">
        <v>1045</v>
      </c>
      <c r="L23" s="175">
        <v>1058</v>
      </c>
      <c r="M23" s="175">
        <v>1071</v>
      </c>
      <c r="N23" s="175">
        <v>1085</v>
      </c>
      <c r="O23" s="175">
        <v>1101</v>
      </c>
      <c r="P23" s="175">
        <v>1239</v>
      </c>
      <c r="Q23" s="175">
        <v>1286</v>
      </c>
      <c r="R23" s="175">
        <v>1334</v>
      </c>
      <c r="S23" s="175">
        <v>1378</v>
      </c>
      <c r="T23" s="176">
        <v>1421</v>
      </c>
      <c r="U23" s="177">
        <v>1460</v>
      </c>
      <c r="V23" s="177">
        <v>1303</v>
      </c>
      <c r="W23" s="171"/>
      <c r="X23" s="171"/>
      <c r="Y23" s="171"/>
      <c r="Z23" s="171"/>
      <c r="AA23" s="172">
        <f t="shared" si="2"/>
        <v>188</v>
      </c>
      <c r="AB23" s="172"/>
      <c r="AC23" s="161"/>
      <c r="AD23" s="184">
        <f>+AA23</f>
        <v>188</v>
      </c>
      <c r="AE23" s="184">
        <f t="shared" si="0"/>
        <v>300.048</v>
      </c>
      <c r="AF23" s="164" t="s">
        <v>346</v>
      </c>
    </row>
    <row r="24" spans="1:33" ht="14.4" x14ac:dyDescent="0.3">
      <c r="A24" s="160"/>
      <c r="B24" s="167" t="s">
        <v>162</v>
      </c>
      <c r="C24" s="167"/>
      <c r="D24" s="167">
        <v>34523</v>
      </c>
      <c r="E24" s="167">
        <v>38094</v>
      </c>
      <c r="F24" s="167">
        <v>41683</v>
      </c>
      <c r="G24" s="167">
        <v>45174</v>
      </c>
      <c r="H24" s="167">
        <v>48410</v>
      </c>
      <c r="I24" s="167">
        <v>49148</v>
      </c>
      <c r="J24" s="167">
        <v>49384</v>
      </c>
      <c r="K24" s="167">
        <v>49384</v>
      </c>
      <c r="L24" s="167">
        <v>49384</v>
      </c>
      <c r="M24" s="167">
        <v>49384</v>
      </c>
      <c r="N24" s="167">
        <v>49384</v>
      </c>
      <c r="O24" s="167">
        <v>49384</v>
      </c>
      <c r="P24" s="167">
        <v>50773</v>
      </c>
      <c r="Q24" s="167">
        <v>54292</v>
      </c>
      <c r="R24" s="167">
        <v>57922</v>
      </c>
      <c r="S24" s="167">
        <v>60822</v>
      </c>
      <c r="T24" s="170">
        <v>62867</v>
      </c>
      <c r="U24" s="171">
        <v>63141</v>
      </c>
      <c r="V24" s="171">
        <v>63141</v>
      </c>
      <c r="W24" s="171"/>
      <c r="X24" s="171"/>
      <c r="Y24" s="171"/>
      <c r="Z24" s="171">
        <v>86614</v>
      </c>
      <c r="AA24" s="172">
        <f t="shared" si="2"/>
        <v>16198</v>
      </c>
      <c r="AB24" s="172">
        <f>+Z24/7</f>
        <v>12373.428571428571</v>
      </c>
      <c r="AC24" s="161">
        <f t="shared" ref="AC24:AC28" si="4">+(Z24-H24)/3</f>
        <v>12734.666666666666</v>
      </c>
      <c r="AD24" s="184">
        <f>+AC24</f>
        <v>12734.666666666666</v>
      </c>
      <c r="AE24" s="184">
        <f t="shared" si="0"/>
        <v>20324.527999999998</v>
      </c>
    </row>
    <row r="25" spans="1:33" ht="14.4" x14ac:dyDescent="0.3">
      <c r="A25" s="160"/>
      <c r="B25" s="167" t="s">
        <v>163</v>
      </c>
      <c r="C25" s="167"/>
      <c r="D25" s="167"/>
      <c r="E25" s="175">
        <v>10248</v>
      </c>
      <c r="F25" s="175">
        <v>10817</v>
      </c>
      <c r="G25" s="175">
        <v>11005</v>
      </c>
      <c r="H25" s="175">
        <v>11190</v>
      </c>
      <c r="I25" s="175">
        <v>11207</v>
      </c>
      <c r="J25" s="175">
        <v>11438</v>
      </c>
      <c r="K25" s="175">
        <v>11443</v>
      </c>
      <c r="L25" s="175">
        <v>11447</v>
      </c>
      <c r="M25" s="175">
        <v>11451</v>
      </c>
      <c r="N25" s="175">
        <v>11458</v>
      </c>
      <c r="O25" s="175">
        <v>11531</v>
      </c>
      <c r="P25" s="175">
        <v>11668</v>
      </c>
      <c r="Q25" s="175">
        <v>11860</v>
      </c>
      <c r="R25" s="175">
        <v>12156</v>
      </c>
      <c r="S25" s="175">
        <v>12343</v>
      </c>
      <c r="T25" s="176">
        <v>12527</v>
      </c>
      <c r="U25" s="177">
        <v>12616</v>
      </c>
      <c r="V25" s="177">
        <v>12700</v>
      </c>
      <c r="W25" s="178"/>
      <c r="X25" s="171"/>
      <c r="Y25" s="171"/>
      <c r="Z25" s="171"/>
      <c r="AA25" s="172">
        <f t="shared" si="2"/>
        <v>1612</v>
      </c>
      <c r="AB25" s="172"/>
      <c r="AC25" s="161"/>
      <c r="AD25" s="184">
        <f>+AA25</f>
        <v>1612</v>
      </c>
      <c r="AE25" s="184">
        <f t="shared" si="0"/>
        <v>2572.752</v>
      </c>
      <c r="AF25" s="164" t="s">
        <v>346</v>
      </c>
    </row>
    <row r="26" spans="1:33" ht="14.4" x14ac:dyDescent="0.3">
      <c r="A26" s="160"/>
      <c r="B26" s="167" t="s">
        <v>164</v>
      </c>
      <c r="C26" s="168"/>
      <c r="D26" s="168">
        <v>29314</v>
      </c>
      <c r="E26" s="168">
        <v>35764</v>
      </c>
      <c r="F26" s="167">
        <v>41409</v>
      </c>
      <c r="G26" s="167">
        <v>47377</v>
      </c>
      <c r="H26" s="167">
        <v>52157</v>
      </c>
      <c r="I26" s="167">
        <v>53128</v>
      </c>
      <c r="J26" s="167">
        <v>53339</v>
      </c>
      <c r="K26" s="167">
        <v>53510</v>
      </c>
      <c r="L26" s="167">
        <v>53667</v>
      </c>
      <c r="M26" s="167">
        <v>53818</v>
      </c>
      <c r="N26" s="167">
        <v>54005</v>
      </c>
      <c r="O26" s="175">
        <v>54655</v>
      </c>
      <c r="P26" s="167">
        <v>56565</v>
      </c>
      <c r="Q26" s="167">
        <v>63007</v>
      </c>
      <c r="R26" s="167">
        <v>70290</v>
      </c>
      <c r="S26" s="167">
        <v>75001</v>
      </c>
      <c r="T26" s="170">
        <v>77656</v>
      </c>
      <c r="U26" s="171">
        <v>78767</v>
      </c>
      <c r="V26" s="171">
        <v>79008</v>
      </c>
      <c r="W26" s="171"/>
      <c r="X26" s="171"/>
      <c r="Y26" s="171"/>
      <c r="Z26" s="171">
        <v>283542</v>
      </c>
      <c r="AA26" s="172">
        <f t="shared" si="2"/>
        <v>27243</v>
      </c>
      <c r="AB26" s="172">
        <f>+Z26/12</f>
        <v>23628.5</v>
      </c>
      <c r="AC26" s="161"/>
      <c r="AD26" s="184">
        <f>+AA26</f>
        <v>27243</v>
      </c>
      <c r="AE26" s="184">
        <f t="shared" si="0"/>
        <v>43479.828000000001</v>
      </c>
      <c r="AF26" s="164" t="s">
        <v>426</v>
      </c>
      <c r="AG26" s="164">
        <f>+(O26-I26)*2.5</f>
        <v>3817.5</v>
      </c>
    </row>
    <row r="27" spans="1:33" ht="14.4" x14ac:dyDescent="0.3">
      <c r="A27" s="160"/>
      <c r="B27" s="167" t="s">
        <v>165</v>
      </c>
      <c r="C27" s="167"/>
      <c r="D27" s="167"/>
      <c r="E27" s="173">
        <v>2253</v>
      </c>
      <c r="F27" s="175">
        <v>2489</v>
      </c>
      <c r="G27" s="175">
        <v>2736</v>
      </c>
      <c r="H27" s="175">
        <v>2979</v>
      </c>
      <c r="I27" s="175">
        <v>3097</v>
      </c>
      <c r="J27" s="175">
        <v>4279</v>
      </c>
      <c r="K27" s="175">
        <v>4280</v>
      </c>
      <c r="L27" s="167">
        <v>4280</v>
      </c>
      <c r="M27" s="167">
        <v>4281</v>
      </c>
      <c r="N27" s="175">
        <v>4319</v>
      </c>
      <c r="O27" s="175">
        <v>4536</v>
      </c>
      <c r="P27" s="167">
        <v>4698</v>
      </c>
      <c r="Q27" s="167">
        <v>5473</v>
      </c>
      <c r="R27" s="175">
        <v>5823</v>
      </c>
      <c r="S27" s="167">
        <v>6759</v>
      </c>
      <c r="T27" s="170">
        <v>7056</v>
      </c>
      <c r="U27" s="171">
        <v>7221</v>
      </c>
      <c r="V27" s="171">
        <v>7281</v>
      </c>
      <c r="W27" s="171"/>
      <c r="X27" s="171"/>
      <c r="Y27" s="171"/>
      <c r="Z27" s="171">
        <v>12973</v>
      </c>
      <c r="AA27" s="172">
        <f t="shared" si="2"/>
        <v>3220</v>
      </c>
      <c r="AB27" s="172">
        <f>+Z27/5</f>
        <v>2594.6</v>
      </c>
      <c r="AC27" s="161">
        <f t="shared" si="4"/>
        <v>3331.3333333333335</v>
      </c>
      <c r="AD27" s="184">
        <f>+AC27</f>
        <v>3331.3333333333335</v>
      </c>
      <c r="AE27" s="184">
        <f t="shared" si="0"/>
        <v>5316.8080000000009</v>
      </c>
    </row>
    <row r="28" spans="1:33" ht="14.4" x14ac:dyDescent="0.3">
      <c r="A28" s="160"/>
      <c r="B28" s="167" t="s">
        <v>166</v>
      </c>
      <c r="C28" s="167"/>
      <c r="D28" s="167"/>
      <c r="E28" s="175">
        <v>259</v>
      </c>
      <c r="F28" s="175">
        <v>393</v>
      </c>
      <c r="G28" s="175">
        <v>511</v>
      </c>
      <c r="H28" s="175">
        <v>627</v>
      </c>
      <c r="I28" s="175">
        <v>627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70">
        <v>0</v>
      </c>
      <c r="U28" s="171">
        <v>0</v>
      </c>
      <c r="V28" s="177">
        <v>11</v>
      </c>
      <c r="W28" s="171"/>
      <c r="X28" s="171"/>
      <c r="Y28" s="171"/>
      <c r="Z28" s="171"/>
      <c r="AA28" s="172">
        <f>+I28-E28</f>
        <v>368</v>
      </c>
      <c r="AB28" s="172">
        <f t="shared" ref="AB28" si="5">+Z28/9</f>
        <v>0</v>
      </c>
      <c r="AC28" s="161">
        <f t="shared" si="4"/>
        <v>-209</v>
      </c>
      <c r="AD28" s="184">
        <f>+AA28</f>
        <v>368</v>
      </c>
      <c r="AE28" s="184">
        <f t="shared" si="0"/>
        <v>587.32799999999997</v>
      </c>
    </row>
    <row r="29" spans="1:33" ht="14.4" x14ac:dyDescent="0.3">
      <c r="A29" s="160"/>
      <c r="B29" s="167" t="s">
        <v>167</v>
      </c>
      <c r="C29" s="167"/>
      <c r="D29" s="167"/>
      <c r="E29" s="167"/>
      <c r="F29" s="173">
        <v>0</v>
      </c>
      <c r="G29" s="167"/>
      <c r="H29" s="175">
        <v>0</v>
      </c>
      <c r="I29" s="167"/>
      <c r="J29" s="175">
        <v>3</v>
      </c>
      <c r="K29" s="167">
        <v>3</v>
      </c>
      <c r="L29" s="167">
        <v>3</v>
      </c>
      <c r="M29" s="167">
        <v>3</v>
      </c>
      <c r="N29" s="175">
        <v>3</v>
      </c>
      <c r="O29" s="167">
        <v>3</v>
      </c>
      <c r="P29" s="167">
        <v>3</v>
      </c>
      <c r="Q29" s="167">
        <v>3</v>
      </c>
      <c r="R29" s="175">
        <v>3</v>
      </c>
      <c r="S29" s="167"/>
      <c r="T29" s="170">
        <v>133</v>
      </c>
      <c r="U29" s="171">
        <v>133</v>
      </c>
      <c r="V29" s="171">
        <v>133</v>
      </c>
      <c r="W29" s="171">
        <v>133</v>
      </c>
      <c r="X29" s="171">
        <v>133</v>
      </c>
      <c r="Y29" s="171"/>
      <c r="Z29" s="171"/>
      <c r="AA29" s="172">
        <v>0</v>
      </c>
      <c r="AB29" s="172">
        <v>0</v>
      </c>
      <c r="AC29" s="161">
        <v>0</v>
      </c>
      <c r="AD29" s="184">
        <f>+Z29</f>
        <v>0</v>
      </c>
      <c r="AE29" s="184">
        <f t="shared" si="0"/>
        <v>0</v>
      </c>
    </row>
    <row r="30" spans="1:33" x14ac:dyDescent="0.3">
      <c r="A30" s="164"/>
    </row>
    <row r="31" spans="1:33" x14ac:dyDescent="0.3">
      <c r="A31" s="164"/>
    </row>
    <row r="32" spans="1:33" x14ac:dyDescent="0.3">
      <c r="A32" s="181"/>
      <c r="B32" s="54" t="s">
        <v>348</v>
      </c>
    </row>
    <row r="33" spans="1:2" x14ac:dyDescent="0.3">
      <c r="A33" s="54"/>
      <c r="B33" s="54"/>
    </row>
    <row r="34" spans="1:2" x14ac:dyDescent="0.3">
      <c r="A34" s="182"/>
      <c r="B34" s="54" t="s">
        <v>349</v>
      </c>
    </row>
    <row r="35" spans="1:2" x14ac:dyDescent="0.3">
      <c r="A35" s="164"/>
    </row>
    <row r="36" spans="1:2" x14ac:dyDescent="0.3">
      <c r="A36" s="164"/>
    </row>
    <row r="37" spans="1:2" x14ac:dyDescent="0.3">
      <c r="A37" s="164"/>
    </row>
    <row r="38" spans="1:2" x14ac:dyDescent="0.3">
      <c r="A38" s="164"/>
    </row>
    <row r="39" spans="1:2" x14ac:dyDescent="0.3">
      <c r="A39" s="164"/>
    </row>
    <row r="40" spans="1:2" x14ac:dyDescent="0.3">
      <c r="A40" s="164"/>
    </row>
    <row r="41" spans="1:2" x14ac:dyDescent="0.3">
      <c r="A41" s="164"/>
    </row>
    <row r="42" spans="1:2" x14ac:dyDescent="0.3">
      <c r="A42" s="164"/>
    </row>
    <row r="43" spans="1:2" x14ac:dyDescent="0.3">
      <c r="A43" s="164"/>
    </row>
    <row r="44" spans="1:2" x14ac:dyDescent="0.3">
      <c r="A44" s="164"/>
    </row>
    <row r="45" spans="1:2" x14ac:dyDescent="0.3">
      <c r="A45" s="164"/>
    </row>
    <row r="46" spans="1:2" x14ac:dyDescent="0.3">
      <c r="A46" s="164"/>
    </row>
    <row r="47" spans="1:2" x14ac:dyDescent="0.3">
      <c r="A47" s="164"/>
    </row>
    <row r="48" spans="1:2" x14ac:dyDescent="0.3">
      <c r="A48" s="164"/>
    </row>
    <row r="49" spans="1:1" x14ac:dyDescent="0.3">
      <c r="A49" s="164"/>
    </row>
    <row r="50" spans="1:1" x14ac:dyDescent="0.3">
      <c r="A50" s="164"/>
    </row>
    <row r="51" spans="1:1" x14ac:dyDescent="0.3">
      <c r="A51" s="164"/>
    </row>
    <row r="52" spans="1:1" x14ac:dyDescent="0.3">
      <c r="A52" s="164"/>
    </row>
    <row r="53" spans="1:1" x14ac:dyDescent="0.3">
      <c r="A53" s="164"/>
    </row>
    <row r="54" spans="1:1" x14ac:dyDescent="0.3">
      <c r="A54" s="164"/>
    </row>
    <row r="55" spans="1:1" x14ac:dyDescent="0.3">
      <c r="A55" s="164"/>
    </row>
    <row r="56" spans="1:1" x14ac:dyDescent="0.3">
      <c r="A56" s="164"/>
    </row>
    <row r="57" spans="1:1" x14ac:dyDescent="0.3">
      <c r="A57" s="164"/>
    </row>
    <row r="58" spans="1:1" x14ac:dyDescent="0.3">
      <c r="A58" s="164"/>
    </row>
    <row r="59" spans="1:1" x14ac:dyDescent="0.3">
      <c r="A59" s="164"/>
    </row>
    <row r="60" spans="1:1" x14ac:dyDescent="0.3">
      <c r="A60" s="164"/>
    </row>
    <row r="61" spans="1:1" x14ac:dyDescent="0.3">
      <c r="A61" s="164"/>
    </row>
    <row r="62" spans="1:1" x14ac:dyDescent="0.3">
      <c r="A62" s="164"/>
    </row>
    <row r="63" spans="1:1" x14ac:dyDescent="0.3">
      <c r="A63" s="164"/>
    </row>
  </sheetData>
  <mergeCells count="1">
    <mergeCell ref="B1:S1"/>
  </mergeCells>
  <printOptions horizontalCentered="1" verticalCentered="1"/>
  <pageMargins left="0" right="0" top="0" bottom="0" header="0" footer="0"/>
  <pageSetup paperSize="8" scale="99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C13" sqref="C13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Riassunto!D19</f>
        <v>Scuola Elementare D. Valeri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+Riassunto!L19</f>
        <v>6892</v>
      </c>
      <c r="D2" s="306"/>
      <c r="E2" s="306"/>
    </row>
    <row r="3" spans="1:36" x14ac:dyDescent="0.3">
      <c r="A3" s="5"/>
      <c r="B3" s="5" t="s">
        <v>17</v>
      </c>
      <c r="C3" s="307">
        <f>Riassunto!I19</f>
        <v>258.10000000000002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37.449216482878704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0.82</v>
      </c>
      <c r="D8" s="108">
        <v>1</v>
      </c>
      <c r="E8" s="109">
        <f>+D8-C8</f>
        <v>0.18000000000000005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0.96</v>
      </c>
      <c r="D9" s="108">
        <v>0.96</v>
      </c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</v>
      </c>
      <c r="D10" s="108">
        <v>0.93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0.92</v>
      </c>
      <c r="D11" s="108">
        <v>0.92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0.67352831999999996</v>
      </c>
      <c r="D12" s="110">
        <f>+D8*D9*D10*D11</f>
        <v>0.82137600000000011</v>
      </c>
      <c r="E12" s="111">
        <f t="shared" si="0"/>
        <v>0.14784768000000015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0.14784768000000015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31.912436708067322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219.94051379199999</v>
      </c>
      <c r="D18" s="72">
        <f>+(D17*$C$2/1000)+$C$4</f>
        <v>172.3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87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 t="s">
        <v>171</v>
      </c>
      <c r="C22" s="65">
        <v>1</v>
      </c>
      <c r="D22" s="25">
        <v>600</v>
      </c>
      <c r="E22" s="64">
        <f>+D22*C22</f>
        <v>600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224</v>
      </c>
      <c r="AG22" s="65">
        <v>1</v>
      </c>
      <c r="AH22" s="25">
        <v>80</v>
      </c>
      <c r="AI22" s="64">
        <f>+AH22*AG22</f>
        <v>80</v>
      </c>
      <c r="AJ22" s="64"/>
    </row>
    <row r="23" spans="1:36" x14ac:dyDescent="0.3">
      <c r="B23" s="76" t="s">
        <v>197</v>
      </c>
      <c r="C23" s="65">
        <v>1</v>
      </c>
      <c r="D23" s="25">
        <v>1200</v>
      </c>
      <c r="E23" s="64">
        <f t="shared" ref="E23:E32" si="3">+D23*C23</f>
        <v>1200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250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300</v>
      </c>
      <c r="Y23" s="64">
        <f t="shared" ref="Y23:Y32" si="7">+X23*W23</f>
        <v>0</v>
      </c>
      <c r="Z23" s="64"/>
      <c r="AA23" s="12" t="s">
        <v>52</v>
      </c>
      <c r="AB23" s="65">
        <v>0</v>
      </c>
      <c r="AC23" s="84">
        <v>120</v>
      </c>
      <c r="AD23" s="64">
        <f t="shared" ref="AD23:AD32" si="8">+AC23*AB23</f>
        <v>0</v>
      </c>
      <c r="AE23" s="64"/>
      <c r="AF23" s="76" t="s">
        <v>255</v>
      </c>
      <c r="AG23" s="65">
        <v>1</v>
      </c>
      <c r="AH23" s="25">
        <v>10</v>
      </c>
      <c r="AI23" s="64">
        <f t="shared" ref="AI23:AI32" si="9">+AH23*AG23</f>
        <v>10</v>
      </c>
      <c r="AJ23" s="64"/>
    </row>
    <row r="24" spans="1:36" x14ac:dyDescent="0.3">
      <c r="B24" s="76" t="s">
        <v>475</v>
      </c>
      <c r="C24" s="65">
        <v>1</v>
      </c>
      <c r="D24" s="25">
        <f>+Riello!AJ5</f>
        <v>12700</v>
      </c>
      <c r="E24" s="64">
        <f t="shared" si="3"/>
        <v>12700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76" t="s">
        <v>326</v>
      </c>
      <c r="C25" s="65">
        <v>1</v>
      </c>
      <c r="D25" s="25">
        <v>600</v>
      </c>
      <c r="E25" s="64">
        <f t="shared" si="3"/>
        <v>600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 t="s">
        <v>268</v>
      </c>
      <c r="C26" s="65">
        <v>1</v>
      </c>
      <c r="D26" s="25">
        <f>+Grundfos!F18</f>
        <v>890</v>
      </c>
      <c r="E26" s="64">
        <f t="shared" si="3"/>
        <v>890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 t="s">
        <v>216</v>
      </c>
      <c r="C27" s="65">
        <v>1</v>
      </c>
      <c r="D27" s="25">
        <f>VLOOKUP(B27,Coster!$B$5:$D$43,3,FALSE)</f>
        <v>220</v>
      </c>
      <c r="E27" s="64">
        <f t="shared" si="3"/>
        <v>220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 t="s">
        <v>327</v>
      </c>
      <c r="C28" s="65">
        <v>1</v>
      </c>
      <c r="D28" s="25">
        <v>2000</v>
      </c>
      <c r="E28" s="64">
        <f t="shared" si="3"/>
        <v>2000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 t="s">
        <v>270</v>
      </c>
      <c r="C29" s="65">
        <v>1</v>
      </c>
      <c r="D29" s="25">
        <v>1500</v>
      </c>
      <c r="E29" s="64">
        <f t="shared" si="3"/>
        <v>1500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 t="s">
        <v>328</v>
      </c>
      <c r="C30" s="65">
        <v>1</v>
      </c>
      <c r="D30" s="25">
        <v>500</v>
      </c>
      <c r="E30" s="64">
        <f t="shared" si="3"/>
        <v>500</v>
      </c>
      <c r="G30" s="76"/>
      <c r="H30" s="6"/>
      <c r="J30" s="64">
        <f t="shared" si="4"/>
        <v>0</v>
      </c>
      <c r="L30" s="76"/>
      <c r="M30" s="65"/>
      <c r="N30" s="25"/>
      <c r="O30" s="64">
        <f t="shared" si="5"/>
        <v>0</v>
      </c>
      <c r="Q30" s="76"/>
      <c r="R30" s="65"/>
      <c r="S30" s="25"/>
      <c r="T30" s="64">
        <f t="shared" si="6"/>
        <v>0</v>
      </c>
      <c r="V30" s="76"/>
      <c r="W30" s="65"/>
      <c r="X30" s="25"/>
      <c r="Y30" s="64">
        <f t="shared" si="7"/>
        <v>0</v>
      </c>
      <c r="AA30" s="76"/>
      <c r="AB30" s="65"/>
      <c r="AC30" s="25"/>
      <c r="AD30" s="64">
        <f t="shared" si="8"/>
        <v>0</v>
      </c>
      <c r="AF30" s="76"/>
      <c r="AG30" s="65"/>
      <c r="AH30" s="25"/>
      <c r="AI30" s="64">
        <f t="shared" si="9"/>
        <v>0</v>
      </c>
    </row>
    <row r="31" spans="1:36" x14ac:dyDescent="0.3">
      <c r="B31" s="76" t="s">
        <v>227</v>
      </c>
      <c r="C31" s="65">
        <v>1</v>
      </c>
      <c r="D31" s="25">
        <v>2500</v>
      </c>
      <c r="E31" s="64">
        <f t="shared" si="3"/>
        <v>2500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 t="s">
        <v>463</v>
      </c>
      <c r="C32" s="65">
        <v>1</v>
      </c>
      <c r="D32" s="25">
        <f>'Contatori di energia'!E11</f>
        <v>1500</v>
      </c>
      <c r="E32" s="64">
        <f t="shared" si="3"/>
        <v>1500</v>
      </c>
      <c r="G32" s="76"/>
      <c r="J32" s="64">
        <f t="shared" si="4"/>
        <v>0</v>
      </c>
      <c r="L32" s="76"/>
      <c r="M32" s="99"/>
      <c r="N32" s="25"/>
      <c r="O32" s="64">
        <f t="shared" si="5"/>
        <v>0</v>
      </c>
      <c r="Q32" s="76"/>
      <c r="R32" s="99"/>
      <c r="S32" s="25"/>
      <c r="T32" s="64">
        <f t="shared" si="6"/>
        <v>0</v>
      </c>
      <c r="V32" s="76"/>
      <c r="W32" s="99"/>
      <c r="X32" s="25"/>
      <c r="Y32" s="64">
        <f t="shared" si="7"/>
        <v>0</v>
      </c>
      <c r="AA32" s="76"/>
      <c r="AB32" s="99"/>
      <c r="AC32" s="25"/>
      <c r="AD32" s="64">
        <f t="shared" si="8"/>
        <v>0</v>
      </c>
      <c r="AF32" s="76"/>
      <c r="AG32" s="99"/>
      <c r="AH32" s="25"/>
      <c r="AI32" s="64">
        <f t="shared" si="9"/>
        <v>0</v>
      </c>
    </row>
    <row r="33" spans="1:36" x14ac:dyDescent="0.3">
      <c r="B33" s="12" t="s">
        <v>53</v>
      </c>
      <c r="C33" s="65">
        <v>96</v>
      </c>
      <c r="D33" s="25">
        <v>30</v>
      </c>
      <c r="E33" s="64">
        <f>+D33*C33</f>
        <v>2880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500</v>
      </c>
      <c r="E35" s="64">
        <f>+D35*C35</f>
        <v>500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/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27590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90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 t="s">
        <v>320</v>
      </c>
      <c r="C40" s="65">
        <v>60</v>
      </c>
      <c r="D40" s="25">
        <v>50</v>
      </c>
      <c r="E40" s="64">
        <f t="shared" ref="E40:E46" si="10">+D40*C40</f>
        <v>3000</v>
      </c>
    </row>
    <row r="41" spans="1:36" x14ac:dyDescent="0.3">
      <c r="A41" s="24"/>
      <c r="B41" s="12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</row>
    <row r="44" spans="1:36" x14ac:dyDescent="0.3">
      <c r="B44" s="76"/>
      <c r="C44" s="65"/>
      <c r="D44" s="25"/>
      <c r="E44" s="64">
        <f t="shared" si="10"/>
        <v>0</v>
      </c>
    </row>
    <row r="45" spans="1:36" x14ac:dyDescent="0.3">
      <c r="B45" s="76"/>
      <c r="C45" s="65"/>
      <c r="D45" s="25"/>
      <c r="E45" s="64">
        <f t="shared" si="10"/>
        <v>0</v>
      </c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</row>
    <row r="47" spans="1:36" x14ac:dyDescent="0.3">
      <c r="B47" s="13"/>
      <c r="C47" s="66"/>
      <c r="D47" s="67"/>
      <c r="E47" s="64">
        <f>SUM(E38:E46)*D47</f>
        <v>0</v>
      </c>
    </row>
    <row r="48" spans="1:36" x14ac:dyDescent="0.3">
      <c r="B48" s="13" t="s">
        <v>23</v>
      </c>
      <c r="C48" s="66"/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3000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2" t="s">
        <v>201</v>
      </c>
      <c r="C53" s="65">
        <v>1</v>
      </c>
      <c r="D53" s="25">
        <f>VLOOKUP(B53,Coster!$B$5:$D$43,3,FALSE)</f>
        <v>370</v>
      </c>
      <c r="E53" s="64">
        <f t="shared" ref="E53:E63" si="11">+D53*C53</f>
        <v>370</v>
      </c>
      <c r="AF53" t="s">
        <v>323</v>
      </c>
    </row>
    <row r="54" spans="1:35" x14ac:dyDescent="0.3">
      <c r="B54" s="12" t="s">
        <v>329</v>
      </c>
      <c r="C54" s="65">
        <v>1</v>
      </c>
      <c r="D54" s="25">
        <f>VLOOKUP(B54,Coster!$B$5:$D$43,3,FALSE)</f>
        <v>30</v>
      </c>
      <c r="E54" s="64">
        <f t="shared" si="11"/>
        <v>30</v>
      </c>
    </row>
    <row r="55" spans="1:35" x14ac:dyDescent="0.3">
      <c r="B55" s="76" t="s">
        <v>204</v>
      </c>
      <c r="C55" s="65">
        <v>1</v>
      </c>
      <c r="D55" s="25">
        <f>VLOOKUP(B55,Coster!$B$5:$D$43,3,FALSE)</f>
        <v>40</v>
      </c>
      <c r="E55" s="64">
        <f t="shared" si="11"/>
        <v>40</v>
      </c>
    </row>
    <row r="56" spans="1:35" x14ac:dyDescent="0.3">
      <c r="B56" s="12" t="s">
        <v>330</v>
      </c>
      <c r="C56" s="65">
        <v>1</v>
      </c>
      <c r="D56" s="25">
        <v>200</v>
      </c>
      <c r="E56" s="64">
        <f t="shared" si="11"/>
        <v>200</v>
      </c>
    </row>
    <row r="57" spans="1:35" x14ac:dyDescent="0.3">
      <c r="B57" s="12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2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12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>
        <v>32</v>
      </c>
      <c r="D63" s="25">
        <v>30</v>
      </c>
      <c r="E63" s="64">
        <f t="shared" si="11"/>
        <v>960</v>
      </c>
    </row>
    <row r="64" spans="1:35" x14ac:dyDescent="0.3">
      <c r="B64" s="13"/>
      <c r="C64" s="66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1600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C13" sqref="C13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customWidth="1" collapsed="1"/>
    <col min="13" max="15" width="12.6640625" customWidth="1"/>
    <col min="16" max="16" width="1.6640625" customWidth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Riassunto!D20</f>
        <v>Scuola Elementare D. Manin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+Riassunto!L20</f>
        <v>4366</v>
      </c>
      <c r="D2" s="306"/>
      <c r="E2" s="306"/>
    </row>
    <row r="3" spans="1:36" x14ac:dyDescent="0.3">
      <c r="A3" s="5"/>
      <c r="B3" s="5" t="s">
        <v>17</v>
      </c>
      <c r="C3" s="307">
        <f>Riassunto!I20</f>
        <v>114.8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26.294090700870363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0.88</v>
      </c>
      <c r="D8" s="108">
        <v>1</v>
      </c>
      <c r="E8" s="109">
        <f>+D8-C8</f>
        <v>0.12</v>
      </c>
      <c r="F8" s="22"/>
      <c r="G8" s="22"/>
      <c r="H8" s="22"/>
      <c r="I8" s="22"/>
      <c r="J8" s="22"/>
      <c r="K8" s="22"/>
      <c r="L8" s="81" t="s">
        <v>98</v>
      </c>
      <c r="M8" s="82">
        <v>236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0.94</v>
      </c>
      <c r="D9" s="108">
        <v>0.96</v>
      </c>
      <c r="E9" s="109">
        <f t="shared" ref="E9:E12" si="0">+D9-C9</f>
        <v>2.0000000000000018E-2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0.90800000000000003</v>
      </c>
      <c r="D10" s="108">
        <v>0.90800000000000003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1.5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0.92</v>
      </c>
      <c r="D11" s="108">
        <v>0.92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0.2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0.69100979200000001</v>
      </c>
      <c r="D12" s="110">
        <f>+D8*D9*D10*D11</f>
        <v>0.80194560000000004</v>
      </c>
      <c r="E12" s="111">
        <f t="shared" si="0"/>
        <v>0.11093580800000002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0.2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0.11093580800000002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0.12133333333333333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23.377134503344024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102.06456924160001</v>
      </c>
      <c r="D18" s="72">
        <f>+(D17*$C$2/1000)+$C$4</f>
        <v>109.15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55" t="s">
        <v>171</v>
      </c>
      <c r="C22" s="65">
        <v>1</v>
      </c>
      <c r="D22" s="25">
        <v>600</v>
      </c>
      <c r="E22" s="64">
        <f t="shared" ref="E22:E33" si="3">+D22*C22</f>
        <v>600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>
        <v>500</v>
      </c>
      <c r="O22" s="64">
        <f>+N22*M22</f>
        <v>500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 t="shared" ref="AD22:AD33" si="4">+AC22*AB22</f>
        <v>0</v>
      </c>
      <c r="AE22" s="64"/>
      <c r="AF22" s="156" t="s">
        <v>224</v>
      </c>
      <c r="AG22" s="65">
        <v>1</v>
      </c>
      <c r="AH22" s="25">
        <v>80</v>
      </c>
      <c r="AI22" s="64">
        <f t="shared" ref="AI22:AI23" si="5">+AH22*AG22</f>
        <v>80</v>
      </c>
      <c r="AJ22" s="64"/>
    </row>
    <row r="23" spans="1:36" x14ac:dyDescent="0.3">
      <c r="B23" s="156" t="s">
        <v>197</v>
      </c>
      <c r="C23" s="65">
        <v>1</v>
      </c>
      <c r="D23" s="25">
        <v>1200</v>
      </c>
      <c r="E23" s="64">
        <f t="shared" si="3"/>
        <v>1200</v>
      </c>
      <c r="F23" s="64"/>
      <c r="G23" s="76"/>
      <c r="H23" s="65"/>
      <c r="I23" s="25"/>
      <c r="J23" s="64">
        <f t="shared" ref="J23:J32" si="6">+I23*H23</f>
        <v>0</v>
      </c>
      <c r="K23" s="64"/>
      <c r="L23" s="76" t="s">
        <v>429</v>
      </c>
      <c r="M23" s="125">
        <f>+M8*(1-M9)</f>
        <v>236</v>
      </c>
      <c r="N23" s="17">
        <v>40</v>
      </c>
      <c r="O23" s="64">
        <f t="shared" ref="O23:O32" si="7">+N23*M23</f>
        <v>9440</v>
      </c>
      <c r="P23" s="64"/>
      <c r="Q23" s="76"/>
      <c r="R23" s="125">
        <f>+R9</f>
        <v>0</v>
      </c>
      <c r="S23" s="17">
        <v>60</v>
      </c>
      <c r="T23" s="64">
        <f t="shared" ref="T23:T32" si="8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9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si="4"/>
        <v>0</v>
      </c>
      <c r="AE23" s="64"/>
      <c r="AF23" s="156" t="s">
        <v>292</v>
      </c>
      <c r="AG23" s="65">
        <v>1</v>
      </c>
      <c r="AH23" s="25">
        <v>100</v>
      </c>
      <c r="AI23" s="64">
        <f t="shared" si="5"/>
        <v>100</v>
      </c>
      <c r="AJ23" s="64"/>
    </row>
    <row r="24" spans="1:36" x14ac:dyDescent="0.3">
      <c r="B24" s="156" t="s">
        <v>365</v>
      </c>
      <c r="C24" s="65">
        <v>1</v>
      </c>
      <c r="D24" s="25">
        <f>+Riello!T5</f>
        <v>5700</v>
      </c>
      <c r="E24" s="64">
        <f t="shared" si="3"/>
        <v>5700</v>
      </c>
      <c r="F24" s="64"/>
      <c r="G24" s="76"/>
      <c r="H24" s="65"/>
      <c r="I24" s="25"/>
      <c r="J24" s="64">
        <f t="shared" si="6"/>
        <v>0</v>
      </c>
      <c r="K24" s="64"/>
      <c r="L24" s="76"/>
      <c r="M24" s="65"/>
      <c r="N24" s="25"/>
      <c r="O24" s="64">
        <f t="shared" si="7"/>
        <v>0</v>
      </c>
      <c r="P24" s="64"/>
      <c r="Q24" s="76"/>
      <c r="R24" s="65"/>
      <c r="S24" s="25"/>
      <c r="T24" s="64">
        <f t="shared" si="8"/>
        <v>0</v>
      </c>
      <c r="U24" s="64"/>
      <c r="V24" s="76"/>
      <c r="W24" s="65"/>
      <c r="X24" s="25"/>
      <c r="Y24" s="64">
        <f t="shared" si="9"/>
        <v>0</v>
      </c>
      <c r="Z24" s="64"/>
      <c r="AA24" s="76"/>
      <c r="AB24" s="65"/>
      <c r="AC24" s="25"/>
      <c r="AD24" s="64">
        <f t="shared" si="4"/>
        <v>0</v>
      </c>
      <c r="AE24" s="64"/>
      <c r="AF24" s="156" t="s">
        <v>255</v>
      </c>
      <c r="AG24" s="65">
        <v>1</v>
      </c>
      <c r="AH24" s="25">
        <v>10</v>
      </c>
      <c r="AI24" s="64">
        <f t="shared" ref="AI24:AI27" si="10">+AH24*AG24</f>
        <v>10</v>
      </c>
      <c r="AJ24" s="64"/>
    </row>
    <row r="25" spans="1:36" x14ac:dyDescent="0.3">
      <c r="B25" s="156" t="s">
        <v>335</v>
      </c>
      <c r="C25" s="65">
        <v>1</v>
      </c>
      <c r="D25" s="25">
        <v>1500</v>
      </c>
      <c r="E25" s="64">
        <f t="shared" si="3"/>
        <v>1500</v>
      </c>
      <c r="F25" s="64"/>
      <c r="G25" s="76"/>
      <c r="H25" s="65"/>
      <c r="I25" s="25"/>
      <c r="J25" s="64">
        <f t="shared" si="6"/>
        <v>0</v>
      </c>
      <c r="K25" s="64"/>
      <c r="L25" s="76"/>
      <c r="M25" s="65"/>
      <c r="N25" s="25"/>
      <c r="O25" s="64">
        <f t="shared" si="7"/>
        <v>0</v>
      </c>
      <c r="P25" s="64"/>
      <c r="Q25" s="76"/>
      <c r="R25" s="65"/>
      <c r="S25" s="25"/>
      <c r="T25" s="64">
        <f t="shared" si="8"/>
        <v>0</v>
      </c>
      <c r="U25" s="64"/>
      <c r="V25" s="76"/>
      <c r="W25" s="65"/>
      <c r="X25" s="25"/>
      <c r="Y25" s="64">
        <f t="shared" si="9"/>
        <v>0</v>
      </c>
      <c r="Z25" s="64"/>
      <c r="AA25" s="76"/>
      <c r="AB25" s="65"/>
      <c r="AC25" s="25"/>
      <c r="AD25" s="64">
        <f t="shared" si="4"/>
        <v>0</v>
      </c>
      <c r="AE25" s="64"/>
      <c r="AF25" s="156"/>
      <c r="AG25" s="65"/>
      <c r="AH25" s="25"/>
      <c r="AI25" s="64">
        <f t="shared" si="10"/>
        <v>0</v>
      </c>
      <c r="AJ25" s="64"/>
    </row>
    <row r="26" spans="1:36" x14ac:dyDescent="0.3">
      <c r="B26" s="156" t="s">
        <v>336</v>
      </c>
      <c r="C26" s="65">
        <v>1</v>
      </c>
      <c r="D26" s="25">
        <f>+Grundfos!F16</f>
        <v>660</v>
      </c>
      <c r="E26" s="64">
        <f t="shared" si="3"/>
        <v>660</v>
      </c>
      <c r="F26" s="64"/>
      <c r="G26" s="76"/>
      <c r="H26" s="65"/>
      <c r="I26" s="25"/>
      <c r="J26" s="64">
        <f t="shared" si="6"/>
        <v>0</v>
      </c>
      <c r="K26" s="64"/>
      <c r="L26" s="76"/>
      <c r="M26" s="65"/>
      <c r="N26" s="25"/>
      <c r="O26" s="64">
        <f t="shared" si="7"/>
        <v>0</v>
      </c>
      <c r="P26" s="64"/>
      <c r="Q26" s="76"/>
      <c r="R26" s="65"/>
      <c r="S26" s="25"/>
      <c r="T26" s="64">
        <f t="shared" si="8"/>
        <v>0</v>
      </c>
      <c r="U26" s="64"/>
      <c r="V26" s="76"/>
      <c r="W26" s="65"/>
      <c r="X26" s="25"/>
      <c r="Y26" s="64">
        <f t="shared" si="9"/>
        <v>0</v>
      </c>
      <c r="Z26" s="64"/>
      <c r="AA26" s="76"/>
      <c r="AB26" s="65"/>
      <c r="AC26" s="25"/>
      <c r="AD26" s="64">
        <f t="shared" si="4"/>
        <v>0</v>
      </c>
      <c r="AE26" s="64"/>
      <c r="AF26" s="156"/>
      <c r="AG26" s="65"/>
      <c r="AH26" s="25"/>
      <c r="AI26" s="64">
        <f t="shared" si="10"/>
        <v>0</v>
      </c>
      <c r="AJ26" s="64"/>
    </row>
    <row r="27" spans="1:36" x14ac:dyDescent="0.3">
      <c r="B27" s="156" t="s">
        <v>272</v>
      </c>
      <c r="C27" s="65">
        <v>1</v>
      </c>
      <c r="D27" s="25">
        <v>1500</v>
      </c>
      <c r="E27" s="64">
        <f t="shared" ref="E27:E31" si="11">+D27*C27</f>
        <v>1500</v>
      </c>
      <c r="F27" s="64"/>
      <c r="G27" s="76"/>
      <c r="H27" s="65"/>
      <c r="I27" s="25"/>
      <c r="J27" s="64">
        <f t="shared" si="6"/>
        <v>0</v>
      </c>
      <c r="K27" s="64"/>
      <c r="L27" s="76"/>
      <c r="M27" s="65"/>
      <c r="N27" s="25"/>
      <c r="O27" s="64">
        <f t="shared" si="7"/>
        <v>0</v>
      </c>
      <c r="P27" s="64"/>
      <c r="Q27" s="76"/>
      <c r="R27" s="65"/>
      <c r="S27" s="25"/>
      <c r="T27" s="64">
        <f t="shared" si="8"/>
        <v>0</v>
      </c>
      <c r="U27" s="64"/>
      <c r="V27" s="76"/>
      <c r="W27" s="65"/>
      <c r="X27" s="25"/>
      <c r="Y27" s="64">
        <f t="shared" si="9"/>
        <v>0</v>
      </c>
      <c r="Z27" s="64"/>
      <c r="AA27" s="76"/>
      <c r="AB27" s="65"/>
      <c r="AC27" s="25"/>
      <c r="AD27" s="64">
        <f t="shared" si="4"/>
        <v>0</v>
      </c>
      <c r="AE27" s="64"/>
      <c r="AF27" s="156"/>
      <c r="AG27" s="65"/>
      <c r="AH27" s="25"/>
      <c r="AI27" s="64">
        <f t="shared" si="10"/>
        <v>0</v>
      </c>
      <c r="AJ27" s="64"/>
    </row>
    <row r="28" spans="1:36" x14ac:dyDescent="0.3">
      <c r="B28" s="156" t="s">
        <v>270</v>
      </c>
      <c r="C28" s="65">
        <v>1</v>
      </c>
      <c r="D28" s="25">
        <v>1500</v>
      </c>
      <c r="E28" s="64">
        <f t="shared" si="11"/>
        <v>1500</v>
      </c>
      <c r="F28" s="64"/>
      <c r="G28" s="76"/>
      <c r="H28" s="65"/>
      <c r="I28" s="25"/>
      <c r="J28" s="64">
        <f t="shared" si="6"/>
        <v>0</v>
      </c>
      <c r="K28" s="64"/>
      <c r="L28" s="76"/>
      <c r="M28" s="65"/>
      <c r="N28" s="25"/>
      <c r="O28" s="64">
        <f t="shared" si="7"/>
        <v>0</v>
      </c>
      <c r="P28" s="64"/>
      <c r="Q28" s="76"/>
      <c r="R28" s="65"/>
      <c r="S28" s="25"/>
      <c r="T28" s="64">
        <f t="shared" si="8"/>
        <v>0</v>
      </c>
      <c r="U28" s="64"/>
      <c r="V28" s="76"/>
      <c r="W28" s="65"/>
      <c r="X28" s="25"/>
      <c r="Y28" s="64">
        <f t="shared" si="9"/>
        <v>0</v>
      </c>
      <c r="Z28" s="64"/>
      <c r="AA28" s="76"/>
      <c r="AB28" s="65"/>
      <c r="AC28" s="25"/>
      <c r="AD28" s="64">
        <f t="shared" si="4"/>
        <v>0</v>
      </c>
      <c r="AE28" s="64"/>
      <c r="AF28" s="76"/>
      <c r="AG28" s="65"/>
      <c r="AH28" s="25"/>
      <c r="AI28" s="64">
        <f t="shared" ref="AI28:AI32" si="12">+AH28*AG28</f>
        <v>0</v>
      </c>
      <c r="AJ28" s="64"/>
    </row>
    <row r="29" spans="1:36" x14ac:dyDescent="0.3">
      <c r="B29" s="156" t="s">
        <v>328</v>
      </c>
      <c r="C29" s="65">
        <v>1</v>
      </c>
      <c r="D29" s="25">
        <v>500</v>
      </c>
      <c r="E29" s="64">
        <f t="shared" si="11"/>
        <v>500</v>
      </c>
      <c r="F29" s="64"/>
      <c r="G29" s="76"/>
      <c r="H29" s="65"/>
      <c r="I29" s="25"/>
      <c r="J29" s="64">
        <f t="shared" si="6"/>
        <v>0</v>
      </c>
      <c r="K29" s="64"/>
      <c r="L29" s="76"/>
      <c r="M29" s="65"/>
      <c r="N29" s="25"/>
      <c r="O29" s="64">
        <f t="shared" si="7"/>
        <v>0</v>
      </c>
      <c r="P29" s="64"/>
      <c r="Q29" s="76"/>
      <c r="R29" s="65"/>
      <c r="S29" s="25"/>
      <c r="T29" s="64">
        <f t="shared" si="8"/>
        <v>0</v>
      </c>
      <c r="U29" s="64"/>
      <c r="V29" s="76"/>
      <c r="W29" s="65"/>
      <c r="X29" s="25"/>
      <c r="Y29" s="64">
        <f t="shared" si="9"/>
        <v>0</v>
      </c>
      <c r="Z29" s="64"/>
      <c r="AA29" s="76"/>
      <c r="AB29" s="65"/>
      <c r="AC29" s="25"/>
      <c r="AD29" s="64">
        <f t="shared" si="4"/>
        <v>0</v>
      </c>
      <c r="AE29" s="64"/>
      <c r="AF29" s="76"/>
      <c r="AG29" s="65"/>
      <c r="AH29" s="25"/>
      <c r="AI29" s="64">
        <f t="shared" si="12"/>
        <v>0</v>
      </c>
      <c r="AJ29" s="64"/>
    </row>
    <row r="30" spans="1:36" x14ac:dyDescent="0.3">
      <c r="B30" s="156" t="s">
        <v>227</v>
      </c>
      <c r="C30" s="65">
        <v>1</v>
      </c>
      <c r="D30" s="25">
        <v>2000</v>
      </c>
      <c r="E30" s="64">
        <f t="shared" si="11"/>
        <v>2000</v>
      </c>
      <c r="G30" s="76"/>
      <c r="H30" s="65"/>
      <c r="J30" s="64">
        <f t="shared" si="6"/>
        <v>0</v>
      </c>
      <c r="L30" s="76"/>
      <c r="M30" s="65"/>
      <c r="N30" s="25"/>
      <c r="O30" s="64">
        <f t="shared" si="7"/>
        <v>0</v>
      </c>
      <c r="Q30" s="76"/>
      <c r="R30" s="65"/>
      <c r="S30" s="25"/>
      <c r="T30" s="64">
        <f t="shared" si="8"/>
        <v>0</v>
      </c>
      <c r="V30" s="76"/>
      <c r="W30" s="65"/>
      <c r="X30" s="25"/>
      <c r="Y30" s="64">
        <f t="shared" si="9"/>
        <v>0</v>
      </c>
      <c r="AA30" s="76"/>
      <c r="AB30" s="65"/>
      <c r="AC30" s="25"/>
      <c r="AD30" s="64">
        <f t="shared" si="4"/>
        <v>0</v>
      </c>
      <c r="AF30" s="76"/>
      <c r="AG30" s="65"/>
      <c r="AH30" s="25"/>
      <c r="AI30" s="64">
        <f t="shared" si="12"/>
        <v>0</v>
      </c>
    </row>
    <row r="31" spans="1:36" x14ac:dyDescent="0.3">
      <c r="B31" s="156" t="s">
        <v>455</v>
      </c>
      <c r="C31" s="65">
        <v>1</v>
      </c>
      <c r="D31" s="25">
        <f>'Contatori di energia'!E10</f>
        <v>1300</v>
      </c>
      <c r="E31" s="64">
        <f t="shared" si="11"/>
        <v>1300</v>
      </c>
      <c r="G31" s="76"/>
      <c r="H31" s="65"/>
      <c r="J31" s="64">
        <f t="shared" si="6"/>
        <v>0</v>
      </c>
      <c r="L31" s="76"/>
      <c r="M31" s="65"/>
      <c r="N31" s="25"/>
      <c r="O31" s="64">
        <f t="shared" si="7"/>
        <v>0</v>
      </c>
      <c r="Q31" s="76"/>
      <c r="R31" s="65"/>
      <c r="S31" s="25"/>
      <c r="T31" s="64">
        <f t="shared" si="8"/>
        <v>0</v>
      </c>
      <c r="V31" s="76"/>
      <c r="W31" s="65"/>
      <c r="X31" s="25"/>
      <c r="Y31" s="64">
        <f t="shared" si="9"/>
        <v>0</v>
      </c>
      <c r="AA31" s="76"/>
      <c r="AB31" s="65"/>
      <c r="AC31" s="25"/>
      <c r="AD31" s="64">
        <f t="shared" si="4"/>
        <v>0</v>
      </c>
      <c r="AF31" s="76"/>
      <c r="AG31" s="65"/>
      <c r="AH31" s="25"/>
      <c r="AI31" s="64">
        <f t="shared" si="12"/>
        <v>0</v>
      </c>
    </row>
    <row r="32" spans="1:36" x14ac:dyDescent="0.3">
      <c r="B32" s="116"/>
      <c r="C32" s="65"/>
      <c r="E32" s="64">
        <f t="shared" si="3"/>
        <v>0</v>
      </c>
      <c r="G32" s="76"/>
      <c r="H32" s="65"/>
      <c r="J32" s="64">
        <f t="shared" si="6"/>
        <v>0</v>
      </c>
      <c r="L32" s="76"/>
      <c r="M32" s="65"/>
      <c r="N32" s="25"/>
      <c r="O32" s="64">
        <f t="shared" si="7"/>
        <v>0</v>
      </c>
      <c r="Q32" s="76"/>
      <c r="R32" s="65"/>
      <c r="S32" s="25"/>
      <c r="T32" s="64">
        <f t="shared" si="8"/>
        <v>0</v>
      </c>
      <c r="V32" s="76"/>
      <c r="W32" s="65"/>
      <c r="X32" s="25"/>
      <c r="Y32" s="64">
        <f t="shared" si="9"/>
        <v>0</v>
      </c>
      <c r="AA32" s="76"/>
      <c r="AB32" s="65"/>
      <c r="AC32" s="25"/>
      <c r="AD32" s="64">
        <f t="shared" si="4"/>
        <v>0</v>
      </c>
      <c r="AF32" s="76"/>
      <c r="AG32" s="65"/>
      <c r="AH32" s="25"/>
      <c r="AI32" s="64">
        <f t="shared" si="12"/>
        <v>0</v>
      </c>
    </row>
    <row r="33" spans="1:36" x14ac:dyDescent="0.3">
      <c r="B33" s="12" t="s">
        <v>53</v>
      </c>
      <c r="C33" s="65">
        <v>80</v>
      </c>
      <c r="D33" s="25">
        <v>30</v>
      </c>
      <c r="E33" s="64">
        <f t="shared" si="3"/>
        <v>2400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 t="shared" si="4"/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5"/>
      <c r="D34" s="67"/>
      <c r="E34" s="64">
        <f>SUM(E22:E33)*D34</f>
        <v>0</v>
      </c>
      <c r="F34" s="64"/>
      <c r="G34" s="13" t="s">
        <v>90</v>
      </c>
      <c r="H34" s="65">
        <v>1</v>
      </c>
      <c r="I34" s="67">
        <v>0.05</v>
      </c>
      <c r="J34" s="64">
        <f>SUM(J22:J33)*I34</f>
        <v>0</v>
      </c>
      <c r="K34" s="64"/>
      <c r="L34" s="13"/>
      <c r="M34" s="65"/>
      <c r="N34" s="67"/>
      <c r="O34" s="64">
        <f>SUM(O22:O33)*N34</f>
        <v>0</v>
      </c>
      <c r="P34" s="64"/>
      <c r="Q34" s="13" t="s">
        <v>90</v>
      </c>
      <c r="R34" s="65">
        <v>1</v>
      </c>
      <c r="S34" s="67">
        <v>0.05</v>
      </c>
      <c r="T34" s="64">
        <f>SUM(T22:T33)*S34</f>
        <v>0</v>
      </c>
      <c r="U34" s="64"/>
      <c r="V34" s="13" t="s">
        <v>90</v>
      </c>
      <c r="W34" s="65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5">
        <v>1</v>
      </c>
      <c r="AC34" s="67">
        <v>0.05</v>
      </c>
      <c r="AD34" s="64">
        <f>SUM(AD22:AD33)*AC34</f>
        <v>0</v>
      </c>
      <c r="AE34" s="64"/>
      <c r="AF34" s="13"/>
      <c r="AG34" s="65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5">
        <v>1</v>
      </c>
      <c r="D35" s="25">
        <v>300</v>
      </c>
      <c r="E35" s="64">
        <f>+D35*C35</f>
        <v>300</v>
      </c>
      <c r="F35" s="64"/>
      <c r="G35" s="13" t="s">
        <v>23</v>
      </c>
      <c r="H35" s="65">
        <v>1</v>
      </c>
      <c r="I35" s="25">
        <v>0</v>
      </c>
      <c r="J35" s="64">
        <f>+I35*H35</f>
        <v>0</v>
      </c>
      <c r="K35" s="64"/>
      <c r="L35" s="13" t="s">
        <v>23</v>
      </c>
      <c r="M35" s="65">
        <v>1</v>
      </c>
      <c r="N35" s="25">
        <v>500</v>
      </c>
      <c r="O35" s="64">
        <f>+N35*M35</f>
        <v>500</v>
      </c>
      <c r="P35" s="64"/>
      <c r="Q35" s="13" t="s">
        <v>23</v>
      </c>
      <c r="R35" s="65">
        <v>1</v>
      </c>
      <c r="S35" s="25">
        <v>0</v>
      </c>
      <c r="T35" s="64">
        <f>+S35*R35</f>
        <v>0</v>
      </c>
      <c r="U35" s="64"/>
      <c r="V35" s="13" t="s">
        <v>23</v>
      </c>
      <c r="W35" s="65">
        <v>1</v>
      </c>
      <c r="X35" s="25">
        <v>0</v>
      </c>
      <c r="Y35" s="64">
        <f>+X35*W35</f>
        <v>0</v>
      </c>
      <c r="Z35" s="64"/>
      <c r="AA35" s="13" t="s">
        <v>23</v>
      </c>
      <c r="AB35" s="65">
        <v>1</v>
      </c>
      <c r="AC35" s="25">
        <v>0</v>
      </c>
      <c r="AD35" s="64">
        <f>+AC35*AB35</f>
        <v>0</v>
      </c>
      <c r="AE35" s="64"/>
      <c r="AF35" s="13" t="s">
        <v>23</v>
      </c>
      <c r="AG35" s="65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19160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10440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190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156" t="s">
        <v>320</v>
      </c>
      <c r="C40" s="65">
        <v>10</v>
      </c>
      <c r="D40" s="25">
        <v>50</v>
      </c>
      <c r="E40" s="64">
        <f t="shared" ref="E40:E46" si="13">+D40*C40</f>
        <v>500</v>
      </c>
    </row>
    <row r="41" spans="1:36" x14ac:dyDescent="0.3">
      <c r="A41" s="24"/>
      <c r="B41" s="76"/>
      <c r="C41" s="65"/>
      <c r="D41" s="25"/>
      <c r="E41" s="64">
        <f t="shared" si="13"/>
        <v>0</v>
      </c>
    </row>
    <row r="42" spans="1:36" x14ac:dyDescent="0.3">
      <c r="A42" s="24"/>
      <c r="B42" s="76"/>
      <c r="C42" s="65"/>
      <c r="D42" s="25"/>
      <c r="E42" s="64">
        <f t="shared" si="13"/>
        <v>0</v>
      </c>
    </row>
    <row r="43" spans="1:36" x14ac:dyDescent="0.3">
      <c r="A43" s="24"/>
      <c r="B43" s="76"/>
      <c r="C43" s="65"/>
      <c r="D43" s="25"/>
      <c r="E43" s="64">
        <f t="shared" si="13"/>
        <v>0</v>
      </c>
    </row>
    <row r="44" spans="1:36" x14ac:dyDescent="0.3">
      <c r="B44" s="76"/>
      <c r="C44" s="65"/>
      <c r="D44" s="25"/>
      <c r="E44" s="64">
        <f t="shared" si="13"/>
        <v>0</v>
      </c>
    </row>
    <row r="45" spans="1:36" x14ac:dyDescent="0.3">
      <c r="B45" s="76"/>
      <c r="C45" s="65"/>
      <c r="D45" s="25"/>
      <c r="E45" s="64">
        <f t="shared" si="13"/>
        <v>0</v>
      </c>
    </row>
    <row r="46" spans="1:36" x14ac:dyDescent="0.3">
      <c r="B46" s="12" t="s">
        <v>53</v>
      </c>
      <c r="C46" s="65"/>
      <c r="D46" s="25">
        <v>30</v>
      </c>
      <c r="E46" s="64">
        <f t="shared" si="13"/>
        <v>0</v>
      </c>
    </row>
    <row r="47" spans="1:36" x14ac:dyDescent="0.3">
      <c r="B47" s="13"/>
      <c r="C47" s="65"/>
      <c r="D47" s="67"/>
      <c r="E47" s="64">
        <f>SUM(E38:E46)*D47</f>
        <v>0</v>
      </c>
    </row>
    <row r="48" spans="1:36" x14ac:dyDescent="0.3">
      <c r="B48" s="13" t="s">
        <v>23</v>
      </c>
      <c r="C48" s="65"/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500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2" t="s">
        <v>200</v>
      </c>
      <c r="C53" s="65">
        <v>1</v>
      </c>
      <c r="D53" s="25">
        <f>VLOOKUP(B53,Coster!$B$5:$D$43,3,FALSE)</f>
        <v>630</v>
      </c>
      <c r="E53" s="64">
        <f t="shared" ref="E53:E63" si="14">+D53*C53</f>
        <v>630</v>
      </c>
    </row>
    <row r="54" spans="1:35" x14ac:dyDescent="0.3">
      <c r="B54" s="12" t="s">
        <v>203</v>
      </c>
      <c r="C54" s="65">
        <v>1</v>
      </c>
      <c r="D54" s="25">
        <f>VLOOKUP(B54,Coster!$B$5:$D$43,3,FALSE)</f>
        <v>30</v>
      </c>
      <c r="E54" s="64">
        <f t="shared" si="14"/>
        <v>30</v>
      </c>
    </row>
    <row r="55" spans="1:35" x14ac:dyDescent="0.3">
      <c r="B55" s="12" t="s">
        <v>204</v>
      </c>
      <c r="C55" s="65">
        <v>1</v>
      </c>
      <c r="D55" s="25">
        <f>VLOOKUP(B55,Coster!$B$5:$D$43,3,FALSE)</f>
        <v>40</v>
      </c>
      <c r="E55" s="64">
        <f t="shared" si="14"/>
        <v>40</v>
      </c>
    </row>
    <row r="56" spans="1:35" x14ac:dyDescent="0.3">
      <c r="B56" s="76" t="s">
        <v>330</v>
      </c>
      <c r="C56" s="65">
        <v>1</v>
      </c>
      <c r="D56" s="25">
        <v>300</v>
      </c>
      <c r="E56" s="64">
        <f t="shared" si="14"/>
        <v>300</v>
      </c>
    </row>
    <row r="57" spans="1:35" x14ac:dyDescent="0.3">
      <c r="B57" s="12"/>
      <c r="C57" s="65"/>
      <c r="D57" s="25"/>
      <c r="E57" s="64">
        <f t="shared" si="14"/>
        <v>0</v>
      </c>
    </row>
    <row r="58" spans="1:35" x14ac:dyDescent="0.3">
      <c r="B58" s="13"/>
      <c r="C58" s="65"/>
      <c r="D58" s="25"/>
      <c r="E58" s="64">
        <f t="shared" si="14"/>
        <v>0</v>
      </c>
    </row>
    <row r="59" spans="1:35" x14ac:dyDescent="0.3">
      <c r="B59" s="12"/>
      <c r="C59" s="65"/>
      <c r="D59" s="25"/>
      <c r="E59" s="64">
        <f t="shared" si="14"/>
        <v>0</v>
      </c>
    </row>
    <row r="60" spans="1:35" x14ac:dyDescent="0.3">
      <c r="B60" s="12"/>
      <c r="C60" s="65"/>
      <c r="D60" s="25"/>
      <c r="E60" s="64">
        <f t="shared" si="14"/>
        <v>0</v>
      </c>
    </row>
    <row r="61" spans="1:35" x14ac:dyDescent="0.3">
      <c r="B61" s="12"/>
      <c r="C61" s="65"/>
      <c r="D61" s="25"/>
      <c r="E61" s="64">
        <f t="shared" si="14"/>
        <v>0</v>
      </c>
    </row>
    <row r="62" spans="1:35" x14ac:dyDescent="0.3">
      <c r="B62" s="12"/>
      <c r="C62" s="65"/>
      <c r="D62" s="25"/>
      <c r="E62" s="64">
        <f t="shared" si="14"/>
        <v>0</v>
      </c>
    </row>
    <row r="63" spans="1:35" x14ac:dyDescent="0.3">
      <c r="B63" s="12" t="s">
        <v>53</v>
      </c>
      <c r="C63" s="65">
        <v>32</v>
      </c>
      <c r="D63" s="25">
        <v>30</v>
      </c>
      <c r="E63" s="64">
        <f t="shared" si="14"/>
        <v>960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5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1960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C9" sqref="C9"/>
    </sheetView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/>
    <col min="8" max="10" width="12.6640625" hidden="1" customWidth="1"/>
    <col min="11" max="11" width="1.6640625" hidden="1" customWidth="1"/>
    <col min="12" max="12" width="45.6640625" hidden="1" customWidth="1"/>
    <col min="13" max="15" width="12.6640625" hidden="1" customWidth="1"/>
    <col min="16" max="16" width="1.6640625" hidden="1" customWidth="1"/>
    <col min="17" max="17" width="45.6640625" hidden="1" customWidth="1"/>
    <col min="18" max="20" width="12.6640625" hidden="1" customWidth="1"/>
    <col min="21" max="21" width="1.6640625" hidden="1" customWidth="1"/>
    <col min="22" max="22" width="45.6640625" hidden="1" customWidth="1"/>
    <col min="23" max="25" width="12.6640625" hidden="1" customWidth="1"/>
    <col min="26" max="26" width="1.6640625" hidden="1" customWidth="1"/>
    <col min="27" max="27" width="45.6640625" hidden="1" customWidth="1"/>
    <col min="28" max="30" width="12.6640625" hidden="1" customWidth="1"/>
    <col min="31" max="31" width="1.6640625" hidden="1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Riassunto!D21</f>
        <v>Scuola Elementare B. Bussolin - Scuola e Mensa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+Riassunto!L21</f>
        <v>3709.8</v>
      </c>
      <c r="D2" s="306"/>
      <c r="E2" s="306"/>
    </row>
    <row r="3" spans="1:36" x14ac:dyDescent="0.3">
      <c r="A3" s="5"/>
      <c r="B3" s="5" t="s">
        <v>17</v>
      </c>
      <c r="C3" s="307">
        <f>Riassunto!I21</f>
        <v>167.6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45.177637608496411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0.98</v>
      </c>
      <c r="D8" s="108">
        <v>1</v>
      </c>
      <c r="E8" s="109">
        <f>+D8-C8</f>
        <v>2.0000000000000018E-2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0.94</v>
      </c>
      <c r="D9" s="108">
        <v>0.96</v>
      </c>
      <c r="E9" s="109">
        <f t="shared" ref="E9:E12" si="0">+D9-C9</f>
        <v>2.0000000000000018E-2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0.92900000000000005</v>
      </c>
      <c r="D10" s="108">
        <v>0.93400000000000005</v>
      </c>
      <c r="E10" s="109">
        <f t="shared" si="0"/>
        <v>5.0000000000000044E-3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0.94</v>
      </c>
      <c r="D11" s="108">
        <v>0.94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0.80444711199999996</v>
      </c>
      <c r="D12" s="110">
        <f>+D8*D9*D10*D11</f>
        <v>0.84284159999999997</v>
      </c>
      <c r="E12" s="111">
        <f t="shared" si="0"/>
        <v>3.8394488000000004E-2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3.8394488000000004E-2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43.443065343468646</v>
      </c>
      <c r="D17" s="70">
        <v>28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161.16508381119999</v>
      </c>
      <c r="D18" s="72">
        <f>+(D17*$C$2/1000)+$C$4</f>
        <v>103.87440000000001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87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 t="s">
        <v>351</v>
      </c>
      <c r="C22" s="65">
        <v>1</v>
      </c>
      <c r="D22" s="25">
        <v>500</v>
      </c>
      <c r="E22" s="64">
        <f t="shared" ref="E22:E33" si="3">+D22*C22</f>
        <v>500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356</v>
      </c>
      <c r="AG22" s="65"/>
      <c r="AH22" s="25">
        <v>700</v>
      </c>
      <c r="AI22" s="64">
        <f>+AH22*AG22</f>
        <v>0</v>
      </c>
      <c r="AJ22" s="64"/>
    </row>
    <row r="23" spans="1:36" x14ac:dyDescent="0.3">
      <c r="B23" s="12" t="s">
        <v>352</v>
      </c>
      <c r="C23" s="65">
        <v>1</v>
      </c>
      <c r="D23" s="25">
        <v>1000</v>
      </c>
      <c r="E23" s="64">
        <f t="shared" si="3"/>
        <v>1000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/>
      <c r="AC23" s="84">
        <v>120</v>
      </c>
      <c r="AD23" s="64">
        <f t="shared" ref="AD23:AD32" si="8">+AC23*AB23</f>
        <v>0</v>
      </c>
      <c r="AE23" s="64"/>
      <c r="AF23" s="156" t="s">
        <v>357</v>
      </c>
      <c r="AG23" s="65">
        <v>1</v>
      </c>
      <c r="AH23" s="25">
        <v>20</v>
      </c>
      <c r="AI23" s="64">
        <f t="shared" ref="AI23:AI32" si="9">+AH23*AG23</f>
        <v>20</v>
      </c>
      <c r="AJ23" s="64"/>
    </row>
    <row r="24" spans="1:36" x14ac:dyDescent="0.3">
      <c r="B24" s="12" t="s">
        <v>353</v>
      </c>
      <c r="C24" s="65">
        <v>1</v>
      </c>
      <c r="D24" s="25">
        <f>+Grundfos!F9</f>
        <v>480</v>
      </c>
      <c r="E24" s="64">
        <f t="shared" si="3"/>
        <v>480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 t="s">
        <v>354</v>
      </c>
      <c r="C25" s="65">
        <v>1</v>
      </c>
      <c r="D25" s="25">
        <v>100</v>
      </c>
      <c r="E25" s="64">
        <f t="shared" si="3"/>
        <v>100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2" t="s">
        <v>355</v>
      </c>
      <c r="C26" s="65">
        <v>1</v>
      </c>
      <c r="D26" s="25">
        <v>1000</v>
      </c>
      <c r="E26" s="64">
        <f t="shared" si="3"/>
        <v>1000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56" t="s">
        <v>227</v>
      </c>
      <c r="C27" s="65">
        <v>1</v>
      </c>
      <c r="D27" s="25">
        <v>2000</v>
      </c>
      <c r="E27" s="64">
        <f t="shared" si="3"/>
        <v>2000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12" t="s">
        <v>455</v>
      </c>
      <c r="C28" s="65">
        <v>1</v>
      </c>
      <c r="D28" s="25">
        <f>'Contatori di energia'!E10</f>
        <v>1300</v>
      </c>
      <c r="E28" s="64">
        <f t="shared" si="3"/>
        <v>1300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12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D30" s="25"/>
      <c r="E30" s="64">
        <f t="shared" si="3"/>
        <v>0</v>
      </c>
      <c r="G30" s="76"/>
      <c r="H30" s="65"/>
      <c r="J30" s="64">
        <f t="shared" si="4"/>
        <v>0</v>
      </c>
      <c r="L30" s="76"/>
      <c r="M30" s="65"/>
      <c r="N30" s="25"/>
      <c r="O30" s="64">
        <f t="shared" si="5"/>
        <v>0</v>
      </c>
      <c r="Q30" s="76"/>
      <c r="R30" s="65"/>
      <c r="S30" s="25"/>
      <c r="T30" s="64">
        <f t="shared" si="6"/>
        <v>0</v>
      </c>
      <c r="V30" s="76"/>
      <c r="W30" s="65"/>
      <c r="X30" s="25"/>
      <c r="Y30" s="64">
        <f t="shared" si="7"/>
        <v>0</v>
      </c>
      <c r="AA30" s="76"/>
      <c r="AB30" s="65"/>
      <c r="AC30" s="25"/>
      <c r="AD30" s="64">
        <f t="shared" si="8"/>
        <v>0</v>
      </c>
      <c r="AF30" s="76"/>
      <c r="AG30" s="65"/>
      <c r="AH30" s="25"/>
      <c r="AI30" s="64">
        <f t="shared" si="9"/>
        <v>0</v>
      </c>
    </row>
    <row r="31" spans="1:36" x14ac:dyDescent="0.3">
      <c r="B31" s="118"/>
      <c r="C31" s="65"/>
      <c r="D31" s="2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C32"/>
      <c r="D32" s="25"/>
      <c r="E32" s="64">
        <f t="shared" si="3"/>
        <v>0</v>
      </c>
      <c r="G32" s="76"/>
      <c r="H32" s="65"/>
      <c r="J32" s="64">
        <f t="shared" si="4"/>
        <v>0</v>
      </c>
      <c r="L32" s="76"/>
      <c r="M32" s="65"/>
      <c r="N32" s="25"/>
      <c r="O32" s="64">
        <f t="shared" si="5"/>
        <v>0</v>
      </c>
      <c r="Q32" s="76"/>
      <c r="R32" s="65"/>
      <c r="S32" s="25"/>
      <c r="T32" s="64">
        <f t="shared" si="6"/>
        <v>0</v>
      </c>
      <c r="V32" s="76"/>
      <c r="W32" s="65"/>
      <c r="X32" s="25"/>
      <c r="Y32" s="64">
        <f t="shared" si="7"/>
        <v>0</v>
      </c>
      <c r="AA32" s="76"/>
      <c r="AB32" s="65"/>
      <c r="AC32" s="25"/>
      <c r="AD32" s="64">
        <f t="shared" si="8"/>
        <v>0</v>
      </c>
      <c r="AF32" s="76"/>
      <c r="AG32" s="65"/>
      <c r="AH32" s="25"/>
      <c r="AI32" s="64">
        <f t="shared" si="9"/>
        <v>0</v>
      </c>
    </row>
    <row r="33" spans="1:36" x14ac:dyDescent="0.3">
      <c r="B33" s="12" t="s">
        <v>53</v>
      </c>
      <c r="C33" s="65">
        <v>80</v>
      </c>
      <c r="D33" s="25">
        <v>30</v>
      </c>
      <c r="E33" s="64">
        <f t="shared" si="3"/>
        <v>2400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5"/>
      <c r="D34" s="67"/>
      <c r="E34" s="64">
        <f>SUM(E22:E33)*D34</f>
        <v>0</v>
      </c>
      <c r="F34" s="64"/>
      <c r="G34" s="13" t="s">
        <v>90</v>
      </c>
      <c r="H34" s="65">
        <v>1</v>
      </c>
      <c r="I34" s="67">
        <v>0.05</v>
      </c>
      <c r="J34" s="64">
        <f>SUM(J22:J33)*I34</f>
        <v>0</v>
      </c>
      <c r="K34" s="64"/>
      <c r="L34" s="13" t="s">
        <v>90</v>
      </c>
      <c r="M34" s="65">
        <v>1</v>
      </c>
      <c r="N34" s="67">
        <v>0.05</v>
      </c>
      <c r="O34" s="64">
        <f>SUM(O22:O33)*N34</f>
        <v>0</v>
      </c>
      <c r="P34" s="64"/>
      <c r="Q34" s="13" t="s">
        <v>90</v>
      </c>
      <c r="R34" s="65">
        <v>1</v>
      </c>
      <c r="S34" s="67">
        <v>0.05</v>
      </c>
      <c r="T34" s="64">
        <f>SUM(T22:T33)*S34</f>
        <v>0</v>
      </c>
      <c r="U34" s="64"/>
      <c r="V34" s="13" t="s">
        <v>90</v>
      </c>
      <c r="W34" s="65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5">
        <v>1</v>
      </c>
      <c r="AC34" s="67">
        <v>0.05</v>
      </c>
      <c r="AD34" s="64">
        <f>SUM(AD22:AD33)*AC34</f>
        <v>0</v>
      </c>
      <c r="AE34" s="64"/>
      <c r="AF34" s="155" t="s">
        <v>53</v>
      </c>
      <c r="AG34" s="65">
        <v>0</v>
      </c>
      <c r="AH34" s="25">
        <v>30</v>
      </c>
      <c r="AI34" s="64">
        <f>+AH34*AG34</f>
        <v>0</v>
      </c>
      <c r="AJ34" s="64"/>
    </row>
    <row r="35" spans="1:36" x14ac:dyDescent="0.3">
      <c r="B35" s="13" t="s">
        <v>23</v>
      </c>
      <c r="C35" s="65"/>
      <c r="D35" s="25"/>
      <c r="E35" s="64">
        <f>+D35*C35</f>
        <v>0</v>
      </c>
      <c r="F35" s="64"/>
      <c r="G35" s="13" t="s">
        <v>23</v>
      </c>
      <c r="H35" s="65">
        <v>1</v>
      </c>
      <c r="I35" s="25">
        <v>0</v>
      </c>
      <c r="J35" s="64">
        <f>+I35*H35</f>
        <v>0</v>
      </c>
      <c r="K35" s="64"/>
      <c r="L35" s="13" t="s">
        <v>23</v>
      </c>
      <c r="M35" s="65">
        <v>1</v>
      </c>
      <c r="N35" s="25">
        <v>0</v>
      </c>
      <c r="O35" s="64">
        <f>+N35*M35</f>
        <v>0</v>
      </c>
      <c r="P35" s="64"/>
      <c r="Q35" s="13" t="s">
        <v>23</v>
      </c>
      <c r="R35" s="65">
        <v>1</v>
      </c>
      <c r="S35" s="25">
        <v>0</v>
      </c>
      <c r="T35" s="64">
        <f>+S35*R35</f>
        <v>0</v>
      </c>
      <c r="U35" s="64"/>
      <c r="V35" s="13" t="s">
        <v>23</v>
      </c>
      <c r="W35" s="65">
        <v>1</v>
      </c>
      <c r="X35" s="25">
        <v>0</v>
      </c>
      <c r="Y35" s="64">
        <f>+X35*W35</f>
        <v>0</v>
      </c>
      <c r="Z35" s="64"/>
      <c r="AA35" s="13" t="s">
        <v>23</v>
      </c>
      <c r="AB35" s="65">
        <v>1</v>
      </c>
      <c r="AC35" s="25">
        <v>0</v>
      </c>
      <c r="AD35" s="64">
        <f>+AC35*AB35</f>
        <v>0</v>
      </c>
      <c r="AE35" s="64"/>
      <c r="AF35" s="13" t="s">
        <v>23</v>
      </c>
      <c r="AG35" s="65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8780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20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12"/>
      <c r="C40" s="65"/>
      <c r="D40" s="25"/>
      <c r="E40" s="64">
        <f t="shared" ref="E40:E46" si="10">+D40*C40</f>
        <v>0</v>
      </c>
    </row>
    <row r="41" spans="1:36" x14ac:dyDescent="0.3">
      <c r="A41" s="24"/>
      <c r="B41" s="12"/>
      <c r="C41" s="65"/>
      <c r="D41" s="25"/>
      <c r="E41" s="64">
        <f t="shared" si="10"/>
        <v>0</v>
      </c>
      <c r="G41" s="65"/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</row>
    <row r="44" spans="1:36" x14ac:dyDescent="0.3">
      <c r="B44" s="76"/>
      <c r="C44" s="65"/>
      <c r="D44" s="25"/>
      <c r="E44" s="64">
        <f t="shared" si="10"/>
        <v>0</v>
      </c>
    </row>
    <row r="45" spans="1:36" x14ac:dyDescent="0.3">
      <c r="B45" s="76"/>
      <c r="C45" s="65"/>
      <c r="D45" s="25"/>
      <c r="E45" s="64">
        <f t="shared" si="10"/>
        <v>0</v>
      </c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</row>
    <row r="47" spans="1:36" x14ac:dyDescent="0.3">
      <c r="B47" s="13"/>
      <c r="C47" s="65"/>
      <c r="D47" s="67"/>
      <c r="E47" s="64">
        <f>SUM(E38:E46)*D47</f>
        <v>0</v>
      </c>
    </row>
    <row r="48" spans="1:36" x14ac:dyDescent="0.3">
      <c r="B48" s="13" t="s">
        <v>23</v>
      </c>
      <c r="C48" s="65"/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55" t="s">
        <v>200</v>
      </c>
      <c r="C53" s="65">
        <v>1</v>
      </c>
      <c r="D53" s="25">
        <f>VLOOKUP(B53,Coster!$B$5:$D$43,3,FALSE)</f>
        <v>630</v>
      </c>
      <c r="E53" s="64">
        <f t="shared" ref="E53:E63" si="11">+D53*C53</f>
        <v>630</v>
      </c>
    </row>
    <row r="54" spans="1:35" x14ac:dyDescent="0.3">
      <c r="B54" s="155" t="s">
        <v>203</v>
      </c>
      <c r="C54" s="65">
        <v>1</v>
      </c>
      <c r="D54" s="25">
        <f>VLOOKUP(B54,Coster!$B$5:$D$43,3,FALSE)</f>
        <v>30</v>
      </c>
      <c r="E54" s="64">
        <f t="shared" si="11"/>
        <v>30</v>
      </c>
    </row>
    <row r="55" spans="1:35" x14ac:dyDescent="0.3">
      <c r="B55" s="156" t="s">
        <v>204</v>
      </c>
      <c r="C55" s="65">
        <v>2</v>
      </c>
      <c r="D55" s="25">
        <f>VLOOKUP(B55,Coster!$B$5:$D$43,3,FALSE)</f>
        <v>40</v>
      </c>
      <c r="E55" s="64">
        <f t="shared" si="11"/>
        <v>80</v>
      </c>
    </row>
    <row r="56" spans="1:35" x14ac:dyDescent="0.3">
      <c r="B56" s="12"/>
      <c r="C56" s="65"/>
      <c r="D56" s="25"/>
      <c r="E56" s="64">
        <f t="shared" si="11"/>
        <v>0</v>
      </c>
    </row>
    <row r="57" spans="1:35" x14ac:dyDescent="0.3">
      <c r="B57" s="12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2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12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>
        <v>8</v>
      </c>
      <c r="D63" s="25">
        <v>30</v>
      </c>
      <c r="E63" s="64">
        <f t="shared" si="11"/>
        <v>240</v>
      </c>
    </row>
    <row r="64" spans="1:35" x14ac:dyDescent="0.3">
      <c r="B64" s="13"/>
      <c r="C64" s="66"/>
      <c r="D64" s="67"/>
      <c r="E64" s="64">
        <f>SUM(E51:E63)*D64</f>
        <v>0</v>
      </c>
    </row>
    <row r="65" spans="2:5" x14ac:dyDescent="0.3">
      <c r="B65" s="13" t="s">
        <v>23</v>
      </c>
      <c r="C65" s="66">
        <v>1</v>
      </c>
      <c r="D65" s="25"/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980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C31" sqref="C31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Riassunto!D22</f>
        <v>Istituto Comprensivo G.Zanellato - Elementare, Media e Mensa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+Riassunto!L22</f>
        <v>17473</v>
      </c>
      <c r="D2" s="306"/>
      <c r="E2" s="306"/>
    </row>
    <row r="3" spans="1:36" x14ac:dyDescent="0.3">
      <c r="A3" s="5"/>
      <c r="B3" s="5" t="s">
        <v>17</v>
      </c>
      <c r="C3" s="307">
        <f>Riassunto!I22</f>
        <v>542.5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31.047902478109084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0.98</v>
      </c>
      <c r="D8" s="108">
        <v>1</v>
      </c>
      <c r="E8" s="109">
        <f>+D8-C8</f>
        <v>2.0000000000000018E-2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0.96</v>
      </c>
      <c r="D9" s="108">
        <v>0.96</v>
      </c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</v>
      </c>
      <c r="D10" s="108">
        <v>0.93200000000000005</v>
      </c>
      <c r="E10" s="109">
        <f t="shared" si="0"/>
        <v>2.0000000000000018E-3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0.92</v>
      </c>
      <c r="D11" s="108">
        <v>0.94</v>
      </c>
      <c r="E11" s="109">
        <f t="shared" si="0"/>
        <v>1.9999999999999907E-2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0.80494848000000008</v>
      </c>
      <c r="D12" s="110">
        <f>+D8*D9*D10*D11</f>
        <v>0.84103680000000003</v>
      </c>
      <c r="E12" s="111">
        <f t="shared" si="0"/>
        <v>3.6088319999999952E-2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0.03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6.608831999999995E-2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28.99599876380702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506.64708640000003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 t="s">
        <v>358</v>
      </c>
      <c r="C22" s="65">
        <v>1</v>
      </c>
      <c r="D22" s="25">
        <v>500</v>
      </c>
      <c r="E22" s="64">
        <f t="shared" ref="E22:E33" si="3">+D22*C22</f>
        <v>500</v>
      </c>
      <c r="F22" s="64"/>
      <c r="G22" s="156" t="s">
        <v>432</v>
      </c>
      <c r="H22" s="65"/>
      <c r="I22" s="25">
        <v>2000</v>
      </c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156" t="s">
        <v>255</v>
      </c>
      <c r="AG22" s="65">
        <v>4</v>
      </c>
      <c r="AH22" s="25">
        <v>10</v>
      </c>
      <c r="AI22" s="64">
        <f>+AH22*AG22</f>
        <v>40</v>
      </c>
      <c r="AJ22" s="64"/>
    </row>
    <row r="23" spans="1:36" x14ac:dyDescent="0.3">
      <c r="B23" s="156" t="s">
        <v>334</v>
      </c>
      <c r="C23" s="65">
        <v>1</v>
      </c>
      <c r="D23" s="25">
        <f>+Riello!P5</f>
        <v>5500</v>
      </c>
      <c r="E23" s="64">
        <f t="shared" si="3"/>
        <v>5500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v>0</v>
      </c>
      <c r="AC23" s="84">
        <v>120</v>
      </c>
      <c r="AD23" s="64">
        <f t="shared" ref="AD23:AD32" si="8">+AC23*AB23</f>
        <v>0</v>
      </c>
      <c r="AE23" s="64"/>
      <c r="AF23" s="76" t="s">
        <v>359</v>
      </c>
      <c r="AG23" s="65">
        <v>1</v>
      </c>
      <c r="AH23" s="25">
        <v>100</v>
      </c>
      <c r="AI23" s="64">
        <f t="shared" ref="AI23:AI32" si="9">+AH23*AG23</f>
        <v>100</v>
      </c>
      <c r="AJ23" s="64"/>
    </row>
    <row r="24" spans="1:36" x14ac:dyDescent="0.3">
      <c r="B24" s="156" t="s">
        <v>335</v>
      </c>
      <c r="C24" s="65">
        <v>1</v>
      </c>
      <c r="D24" s="25">
        <v>1500</v>
      </c>
      <c r="E24" s="64">
        <f t="shared" si="3"/>
        <v>1500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56" t="s">
        <v>336</v>
      </c>
      <c r="C25" s="65">
        <v>1</v>
      </c>
      <c r="D25" s="25">
        <f>+Grundfos!F16</f>
        <v>660</v>
      </c>
      <c r="E25" s="64">
        <f t="shared" si="3"/>
        <v>660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56" t="s">
        <v>272</v>
      </c>
      <c r="C26" s="65">
        <v>1</v>
      </c>
      <c r="D26" s="25">
        <v>2000</v>
      </c>
      <c r="E26" s="64">
        <f t="shared" si="3"/>
        <v>2000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56" t="s">
        <v>270</v>
      </c>
      <c r="C27" s="65">
        <v>1</v>
      </c>
      <c r="D27" s="25">
        <v>1000</v>
      </c>
      <c r="E27" s="64">
        <f t="shared" si="3"/>
        <v>1000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156" t="s">
        <v>328</v>
      </c>
      <c r="C28" s="65">
        <v>1</v>
      </c>
      <c r="D28" s="25">
        <v>500</v>
      </c>
      <c r="E28" s="64">
        <f t="shared" si="3"/>
        <v>500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156" t="s">
        <v>227</v>
      </c>
      <c r="C29" s="65">
        <v>1</v>
      </c>
      <c r="D29" s="25">
        <v>2000</v>
      </c>
      <c r="E29" s="64">
        <f t="shared" si="3"/>
        <v>2000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 t="s">
        <v>197</v>
      </c>
      <c r="C30" s="65">
        <v>1</v>
      </c>
      <c r="D30" s="25">
        <v>1000</v>
      </c>
      <c r="E30" s="64">
        <f t="shared" si="3"/>
        <v>1000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156" t="s">
        <v>438</v>
      </c>
      <c r="C31" s="65"/>
      <c r="D31" s="64">
        <f>+Riello!H38</f>
        <v>9000</v>
      </c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 t="s">
        <v>455</v>
      </c>
      <c r="C32" s="65">
        <v>1</v>
      </c>
      <c r="D32" s="64">
        <f>'Contatori di energia'!E10</f>
        <v>1300</v>
      </c>
      <c r="E32" s="64">
        <f t="shared" si="3"/>
        <v>1300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>
        <v>120</v>
      </c>
      <c r="D33" s="25">
        <v>30</v>
      </c>
      <c r="E33" s="64">
        <f t="shared" si="3"/>
        <v>3600</v>
      </c>
      <c r="F33" s="64"/>
      <c r="G33" s="12" t="s">
        <v>53</v>
      </c>
      <c r="H33" s="65"/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/>
      <c r="I34" s="67"/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19560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140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156" t="s">
        <v>320</v>
      </c>
      <c r="C40" s="65">
        <v>120</v>
      </c>
      <c r="D40" s="25">
        <v>50</v>
      </c>
      <c r="E40" s="64">
        <f t="shared" ref="E40:E46" si="10">+D40*C40</f>
        <v>6000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</row>
    <row r="44" spans="1:36" x14ac:dyDescent="0.3">
      <c r="B44" s="76"/>
      <c r="C44" s="65"/>
      <c r="D44" s="25"/>
      <c r="E44" s="64">
        <f t="shared" si="10"/>
        <v>0</v>
      </c>
      <c r="AF44" s="65"/>
    </row>
    <row r="45" spans="1:36" x14ac:dyDescent="0.3">
      <c r="B45" s="76"/>
      <c r="C45" s="65"/>
      <c r="D45" s="25"/>
      <c r="E45" s="64">
        <f t="shared" si="10"/>
        <v>0</v>
      </c>
      <c r="AF45" s="65"/>
    </row>
    <row r="46" spans="1:36" x14ac:dyDescent="0.3">
      <c r="B46" s="12"/>
      <c r="C46" s="65"/>
      <c r="D46" s="25"/>
      <c r="E46" s="64">
        <f t="shared" si="10"/>
        <v>0</v>
      </c>
      <c r="AF46" s="65"/>
    </row>
    <row r="47" spans="1:36" x14ac:dyDescent="0.3">
      <c r="B47" s="13"/>
      <c r="C47" s="65"/>
      <c r="D47" s="67"/>
      <c r="E47" s="64">
        <f>SUM(E38:E46)*D47</f>
        <v>0</v>
      </c>
      <c r="AF47" s="65"/>
    </row>
    <row r="48" spans="1:36" x14ac:dyDescent="0.3">
      <c r="B48" s="13" t="s">
        <v>23</v>
      </c>
      <c r="C48" s="65"/>
      <c r="D48" s="25">
        <v>0</v>
      </c>
      <c r="E48" s="64">
        <f>+D48*C48</f>
        <v>0</v>
      </c>
      <c r="AF48" s="65"/>
    </row>
    <row r="49" spans="1:35" x14ac:dyDescent="0.3">
      <c r="B49" s="304" t="s">
        <v>22</v>
      </c>
      <c r="C49" s="304"/>
      <c r="D49" s="304"/>
      <c r="E49" s="26">
        <f>SUM(E38:E48)</f>
        <v>6000</v>
      </c>
      <c r="AF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F50" s="65"/>
      <c r="AH50" s="8"/>
      <c r="AI50" s="10"/>
    </row>
    <row r="51" spans="1:35" x14ac:dyDescent="0.3">
      <c r="B51" s="303" t="s">
        <v>12</v>
      </c>
      <c r="C51" s="303"/>
      <c r="D51" s="303"/>
      <c r="E51" s="303"/>
      <c r="AF51" s="65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F52" s="6"/>
    </row>
    <row r="53" spans="1:35" x14ac:dyDescent="0.3">
      <c r="A53" s="24"/>
      <c r="B53" s="155" t="s">
        <v>200</v>
      </c>
      <c r="C53" s="65">
        <v>1</v>
      </c>
      <c r="D53" s="25">
        <f>VLOOKUP(B53,Coster!$B$5:$D$43,3,FALSE)</f>
        <v>630</v>
      </c>
      <c r="E53" s="64">
        <f t="shared" ref="E53:E63" si="11">+D53*C53</f>
        <v>630</v>
      </c>
      <c r="AF53" s="65"/>
    </row>
    <row r="54" spans="1:35" x14ac:dyDescent="0.3">
      <c r="B54" s="155" t="s">
        <v>203</v>
      </c>
      <c r="C54" s="65">
        <v>1</v>
      </c>
      <c r="D54" s="25">
        <f>VLOOKUP(B54,Coster!$B$5:$D$43,3,FALSE)</f>
        <v>30</v>
      </c>
      <c r="E54" s="64">
        <f t="shared" si="11"/>
        <v>30</v>
      </c>
    </row>
    <row r="55" spans="1:35" x14ac:dyDescent="0.3">
      <c r="B55" s="156" t="s">
        <v>204</v>
      </c>
      <c r="C55" s="65">
        <v>2</v>
      </c>
      <c r="D55" s="25">
        <f>VLOOKUP(B55,Coster!$B$5:$D$43,3,FALSE)</f>
        <v>40</v>
      </c>
      <c r="E55" s="64">
        <f t="shared" si="11"/>
        <v>80</v>
      </c>
      <c r="AF55" s="65"/>
    </row>
    <row r="56" spans="1:35" x14ac:dyDescent="0.3">
      <c r="B56" s="76" t="s">
        <v>305</v>
      </c>
      <c r="C56" s="65">
        <v>1</v>
      </c>
      <c r="D56" s="25">
        <v>200</v>
      </c>
      <c r="E56" s="64">
        <f t="shared" si="11"/>
        <v>200</v>
      </c>
      <c r="AF56" s="66"/>
    </row>
    <row r="57" spans="1:35" x14ac:dyDescent="0.3">
      <c r="B57" s="76"/>
      <c r="C57" s="65"/>
      <c r="D57" s="25"/>
      <c r="E57" s="64">
        <f t="shared" si="11"/>
        <v>0</v>
      </c>
      <c r="AF57" s="66"/>
    </row>
    <row r="58" spans="1:35" x14ac:dyDescent="0.3">
      <c r="B58" s="76"/>
      <c r="C58" s="65"/>
      <c r="D58" s="25"/>
      <c r="E58" s="64">
        <f t="shared" si="11"/>
        <v>0</v>
      </c>
    </row>
    <row r="59" spans="1:35" x14ac:dyDescent="0.3">
      <c r="B59" s="76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76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>
        <v>16</v>
      </c>
      <c r="D63" s="25">
        <v>30</v>
      </c>
      <c r="E63" s="64">
        <f t="shared" si="11"/>
        <v>480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5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1420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"/>
  <sheetViews>
    <sheetView zoomScaleNormal="100" workbookViewId="0">
      <selection activeCell="B1" sqref="B1:E1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Riassunto!D23</f>
        <v>Scuola Media G. Guinizelli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+Riassunto!L23</f>
        <v>9429.6</v>
      </c>
      <c r="D2" s="306"/>
      <c r="E2" s="306"/>
    </row>
    <row r="3" spans="1:36" x14ac:dyDescent="0.3">
      <c r="A3" s="5"/>
      <c r="B3" s="5" t="s">
        <v>17</v>
      </c>
      <c r="C3" s="307">
        <f>Riassunto!I23</f>
        <v>602.70000000000005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63.915754644947825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0.84</v>
      </c>
      <c r="D8" s="108">
        <v>1</v>
      </c>
      <c r="E8" s="109">
        <f>+D8-C8</f>
        <v>0.16000000000000003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0.88</v>
      </c>
      <c r="D9" s="108">
        <v>0.96</v>
      </c>
      <c r="E9" s="109">
        <f t="shared" ref="E9:E12" si="0">+D9-C9</f>
        <v>7.999999999999996E-2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</v>
      </c>
      <c r="D10" s="108">
        <v>0.93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0.91</v>
      </c>
      <c r="D11" s="108">
        <v>0.91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0.62558495999999997</v>
      </c>
      <c r="D12" s="110">
        <f>+D8*D9*D10*D11</f>
        <v>0.81244800000000006</v>
      </c>
      <c r="E12" s="111">
        <f t="shared" si="0"/>
        <v>0.18686304000000009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0.18686304000000009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51.972262428098745</v>
      </c>
      <c r="D17" s="70">
        <v>30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490.07764579199994</v>
      </c>
      <c r="D18" s="72">
        <f>+(D17*$C$2/1000)+$C$4</f>
        <v>282.88799999999998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55" t="s">
        <v>385</v>
      </c>
      <c r="C22" s="65">
        <v>1</v>
      </c>
      <c r="D22" s="25">
        <v>1000</v>
      </c>
      <c r="E22" s="64">
        <f>+D22*C22</f>
        <v>1000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156" t="s">
        <v>255</v>
      </c>
      <c r="AG22" s="65">
        <v>3</v>
      </c>
      <c r="AH22" s="25">
        <v>10</v>
      </c>
      <c r="AI22" s="64">
        <f>+AH22*AG22</f>
        <v>30</v>
      </c>
      <c r="AJ22" s="64"/>
    </row>
    <row r="23" spans="1:36" x14ac:dyDescent="0.3">
      <c r="B23" s="156" t="s">
        <v>197</v>
      </c>
      <c r="C23" s="65">
        <v>1</v>
      </c>
      <c r="D23" s="25">
        <v>2000</v>
      </c>
      <c r="E23" s="64">
        <f t="shared" ref="E23:E26" si="3">+D23*C23</f>
        <v>2000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/>
      <c r="AC23" s="84">
        <v>120</v>
      </c>
      <c r="AD23" s="64">
        <f t="shared" ref="AD23:AD32" si="8">+AC23*AB23</f>
        <v>0</v>
      </c>
      <c r="AE23" s="64"/>
      <c r="AF23" s="156" t="s">
        <v>223</v>
      </c>
      <c r="AG23" s="65">
        <v>1</v>
      </c>
      <c r="AH23" s="25">
        <v>80</v>
      </c>
      <c r="AI23" s="64">
        <f t="shared" ref="AI23:AI32" si="9">+AH23*AG23</f>
        <v>80</v>
      </c>
      <c r="AJ23" s="64"/>
    </row>
    <row r="24" spans="1:36" x14ac:dyDescent="0.3">
      <c r="B24" s="156" t="s">
        <v>478</v>
      </c>
      <c r="C24" s="65">
        <v>1</v>
      </c>
      <c r="D24" s="25">
        <f>+Riello!T21</f>
        <v>22100</v>
      </c>
      <c r="E24" s="64">
        <f t="shared" si="3"/>
        <v>22100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56" t="s">
        <v>391</v>
      </c>
      <c r="C25" s="65">
        <v>1</v>
      </c>
      <c r="D25" s="25">
        <v>1500</v>
      </c>
      <c r="E25" s="64">
        <f t="shared" si="3"/>
        <v>1500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56" t="s">
        <v>477</v>
      </c>
      <c r="C26" s="65">
        <v>1</v>
      </c>
      <c r="D26" s="25">
        <v>2500</v>
      </c>
      <c r="E26" s="64">
        <f t="shared" si="3"/>
        <v>2500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56" t="s">
        <v>392</v>
      </c>
      <c r="C27" s="65">
        <v>1</v>
      </c>
      <c r="D27" s="25">
        <v>2000</v>
      </c>
      <c r="E27" s="64">
        <f t="shared" ref="E27:E31" si="10">+D27*C27</f>
        <v>2000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156" t="s">
        <v>393</v>
      </c>
      <c r="C28" s="65">
        <v>1</v>
      </c>
      <c r="D28" s="25">
        <v>1500</v>
      </c>
      <c r="E28" s="64">
        <f t="shared" si="10"/>
        <v>1500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156" t="s">
        <v>328</v>
      </c>
      <c r="C29" s="65">
        <v>1</v>
      </c>
      <c r="D29" s="25">
        <v>500</v>
      </c>
      <c r="E29" s="64">
        <f t="shared" si="10"/>
        <v>500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156" t="s">
        <v>353</v>
      </c>
      <c r="C30" s="65">
        <v>1</v>
      </c>
      <c r="D30" s="25">
        <f>+Grundfos!F9</f>
        <v>480</v>
      </c>
      <c r="E30" s="64">
        <f t="shared" si="10"/>
        <v>480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156" t="s">
        <v>394</v>
      </c>
      <c r="C31" s="65">
        <v>1</v>
      </c>
      <c r="D31" s="25">
        <f>+Grundfos!F7</f>
        <v>310</v>
      </c>
      <c r="E31" s="64">
        <f t="shared" si="10"/>
        <v>310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156" t="s">
        <v>395</v>
      </c>
      <c r="C32" s="65">
        <v>1</v>
      </c>
      <c r="D32" s="64">
        <f>+Grundfos!F20</f>
        <v>1270</v>
      </c>
      <c r="E32" s="64">
        <f t="shared" ref="E32:E35" si="11">+D32*C32</f>
        <v>1270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s="153" customFormat="1" x14ac:dyDescent="0.3">
      <c r="B33" s="156" t="s">
        <v>462</v>
      </c>
      <c r="C33" s="65">
        <v>1</v>
      </c>
      <c r="D33" s="64">
        <f>'Contatori di energia'!E12</f>
        <v>1900</v>
      </c>
      <c r="E33" s="64">
        <f t="shared" ref="E33:E34" si="12">+D33*C33</f>
        <v>1900</v>
      </c>
      <c r="G33" s="156"/>
      <c r="J33" s="64"/>
      <c r="L33" s="156"/>
      <c r="N33" s="25"/>
      <c r="O33" s="64"/>
      <c r="Q33" s="156"/>
      <c r="S33" s="25"/>
      <c r="T33" s="64"/>
      <c r="V33" s="156"/>
      <c r="X33" s="25"/>
      <c r="Y33" s="64"/>
      <c r="AA33" s="156"/>
      <c r="AC33" s="25"/>
      <c r="AD33" s="64"/>
      <c r="AF33" s="156"/>
      <c r="AG33" s="65"/>
      <c r="AH33" s="25"/>
      <c r="AI33" s="64">
        <f t="shared" ref="AI33" si="13">+AH33*AG33</f>
        <v>0</v>
      </c>
    </row>
    <row r="34" spans="1:36" s="153" customFormat="1" x14ac:dyDescent="0.3">
      <c r="B34" s="156" t="s">
        <v>464</v>
      </c>
      <c r="C34" s="65">
        <v>1</v>
      </c>
      <c r="D34" s="64">
        <v>500</v>
      </c>
      <c r="E34" s="64">
        <f t="shared" si="12"/>
        <v>500</v>
      </c>
      <c r="G34" s="156"/>
      <c r="J34" s="64"/>
      <c r="L34" s="156"/>
      <c r="N34" s="25"/>
      <c r="O34" s="64"/>
      <c r="Q34" s="156"/>
      <c r="S34" s="25"/>
      <c r="T34" s="64"/>
      <c r="V34" s="156"/>
      <c r="X34" s="25"/>
      <c r="Y34" s="64"/>
      <c r="AA34" s="156"/>
      <c r="AC34" s="25"/>
      <c r="AD34" s="64"/>
      <c r="AF34" s="156"/>
      <c r="AG34" s="65"/>
      <c r="AH34" s="25"/>
      <c r="AI34" s="64">
        <f t="shared" ref="AI34" si="14">+AH34*AG34</f>
        <v>0</v>
      </c>
    </row>
    <row r="35" spans="1:36" x14ac:dyDescent="0.3">
      <c r="B35" s="12" t="s">
        <v>53</v>
      </c>
      <c r="C35" s="65">
        <f>2*8*10</f>
        <v>160</v>
      </c>
      <c r="D35" s="25">
        <v>30</v>
      </c>
      <c r="E35" s="64">
        <f t="shared" si="11"/>
        <v>4800</v>
      </c>
      <c r="F35" s="64"/>
      <c r="G35" s="12" t="s">
        <v>53</v>
      </c>
      <c r="H35" s="65"/>
      <c r="I35" s="25">
        <v>30</v>
      </c>
      <c r="J35" s="64">
        <f>+I35*H35</f>
        <v>0</v>
      </c>
      <c r="K35" s="64"/>
      <c r="L35" s="76"/>
      <c r="M35" s="65"/>
      <c r="N35" s="25"/>
      <c r="O35" s="64">
        <f>+N35*M35</f>
        <v>0</v>
      </c>
      <c r="P35" s="64"/>
      <c r="Q35" s="76"/>
      <c r="R35" s="65"/>
      <c r="S35" s="25"/>
      <c r="T35" s="64">
        <f>+S35*R35</f>
        <v>0</v>
      </c>
      <c r="U35" s="64"/>
      <c r="V35" s="76"/>
      <c r="W35" s="65"/>
      <c r="X35" s="25"/>
      <c r="Y35" s="64">
        <f>+X35*W35</f>
        <v>0</v>
      </c>
      <c r="Z35" s="64"/>
      <c r="AA35" s="76"/>
      <c r="AB35" s="65"/>
      <c r="AC35" s="25"/>
      <c r="AD35" s="64">
        <f>+AC35*AB35</f>
        <v>0</v>
      </c>
      <c r="AE35" s="64"/>
      <c r="AF35" s="76"/>
      <c r="AG35" s="65"/>
      <c r="AH35" s="25"/>
      <c r="AI35" s="64">
        <f>+AH35*AG35</f>
        <v>0</v>
      </c>
      <c r="AJ35" s="64"/>
    </row>
    <row r="36" spans="1:36" x14ac:dyDescent="0.3">
      <c r="B36" s="13"/>
      <c r="C36" s="66"/>
      <c r="D36" s="67"/>
      <c r="E36" s="64">
        <f>SUM(E22:E35)*D36</f>
        <v>0</v>
      </c>
      <c r="F36" s="64"/>
      <c r="G36" s="13" t="s">
        <v>90</v>
      </c>
      <c r="H36" s="66">
        <v>1</v>
      </c>
      <c r="I36" s="67">
        <v>0.05</v>
      </c>
      <c r="J36" s="64">
        <f>SUM(J22:J35)*I36</f>
        <v>0</v>
      </c>
      <c r="K36" s="64"/>
      <c r="L36" s="13" t="s">
        <v>90</v>
      </c>
      <c r="M36" s="66">
        <v>1</v>
      </c>
      <c r="N36" s="67">
        <v>0.05</v>
      </c>
      <c r="O36" s="64">
        <f>SUM(O22:O35)*N36</f>
        <v>0</v>
      </c>
      <c r="P36" s="64"/>
      <c r="Q36" s="13" t="s">
        <v>90</v>
      </c>
      <c r="R36" s="66">
        <v>1</v>
      </c>
      <c r="S36" s="67">
        <v>0.05</v>
      </c>
      <c r="T36" s="64">
        <f>SUM(T22:T35)*S36</f>
        <v>0</v>
      </c>
      <c r="U36" s="64"/>
      <c r="V36" s="13" t="s">
        <v>90</v>
      </c>
      <c r="W36" s="66">
        <v>1</v>
      </c>
      <c r="X36" s="67">
        <v>0.05</v>
      </c>
      <c r="Y36" s="64">
        <f>SUM(Y22:Y35)*X36</f>
        <v>0</v>
      </c>
      <c r="Z36" s="64"/>
      <c r="AA36" s="13" t="s">
        <v>90</v>
      </c>
      <c r="AB36" s="66">
        <v>1</v>
      </c>
      <c r="AC36" s="67">
        <v>0.05</v>
      </c>
      <c r="AD36" s="64">
        <f>SUM(AD22:AD35)*AC36</f>
        <v>0</v>
      </c>
      <c r="AE36" s="64"/>
      <c r="AF36" s="13"/>
      <c r="AG36" s="66"/>
      <c r="AH36" s="67"/>
      <c r="AI36" s="64">
        <f>SUM(AI22:AI35)*AH36</f>
        <v>0</v>
      </c>
      <c r="AJ36" s="64"/>
    </row>
    <row r="37" spans="1:36" x14ac:dyDescent="0.3">
      <c r="B37" s="13" t="s">
        <v>23</v>
      </c>
      <c r="C37" s="66">
        <v>1</v>
      </c>
      <c r="D37" s="25">
        <v>500</v>
      </c>
      <c r="E37" s="64">
        <f>+D37*C37</f>
        <v>500</v>
      </c>
      <c r="F37" s="64"/>
      <c r="G37" s="13" t="s">
        <v>23</v>
      </c>
      <c r="H37" s="66">
        <v>1</v>
      </c>
      <c r="I37" s="25">
        <v>0</v>
      </c>
      <c r="J37" s="64">
        <f>+I37*H37</f>
        <v>0</v>
      </c>
      <c r="K37" s="64"/>
      <c r="L37" s="13" t="s">
        <v>23</v>
      </c>
      <c r="M37" s="66">
        <v>1</v>
      </c>
      <c r="N37" s="25">
        <v>0</v>
      </c>
      <c r="O37" s="64">
        <f>+N37*M37</f>
        <v>0</v>
      </c>
      <c r="P37" s="64"/>
      <c r="Q37" s="13" t="s">
        <v>23</v>
      </c>
      <c r="R37" s="66">
        <v>1</v>
      </c>
      <c r="S37" s="25">
        <v>0</v>
      </c>
      <c r="T37" s="64">
        <f>+S37*R37</f>
        <v>0</v>
      </c>
      <c r="U37" s="64"/>
      <c r="V37" s="13" t="s">
        <v>23</v>
      </c>
      <c r="W37" s="66">
        <v>1</v>
      </c>
      <c r="X37" s="25">
        <v>0</v>
      </c>
      <c r="Y37" s="64">
        <f>+X37*W37</f>
        <v>0</v>
      </c>
      <c r="Z37" s="64"/>
      <c r="AA37" s="13" t="s">
        <v>23</v>
      </c>
      <c r="AB37" s="66">
        <v>1</v>
      </c>
      <c r="AC37" s="25">
        <v>0</v>
      </c>
      <c r="AD37" s="64">
        <f>+AC37*AB37</f>
        <v>0</v>
      </c>
      <c r="AE37" s="64"/>
      <c r="AF37" s="13" t="s">
        <v>23</v>
      </c>
      <c r="AG37" s="66">
        <v>1</v>
      </c>
      <c r="AH37" s="25">
        <v>0</v>
      </c>
      <c r="AI37" s="64">
        <f>+AH37*AG37</f>
        <v>0</v>
      </c>
      <c r="AJ37" s="64"/>
    </row>
    <row r="38" spans="1:36" x14ac:dyDescent="0.3">
      <c r="B38" s="304" t="s">
        <v>22</v>
      </c>
      <c r="C38" s="304"/>
      <c r="D38" s="304"/>
      <c r="E38" s="26">
        <f>SUM(E22:E37)</f>
        <v>42860</v>
      </c>
      <c r="F38" s="26"/>
      <c r="G38" s="304" t="s">
        <v>22</v>
      </c>
      <c r="H38" s="304"/>
      <c r="I38" s="304"/>
      <c r="J38" s="26">
        <f>SUM(J22:J37)</f>
        <v>0</v>
      </c>
      <c r="K38" s="26"/>
      <c r="L38" s="304" t="s">
        <v>22</v>
      </c>
      <c r="M38" s="304"/>
      <c r="N38" s="304"/>
      <c r="O38" s="26">
        <f>SUM(O22:O37)</f>
        <v>0</v>
      </c>
      <c r="P38" s="26"/>
      <c r="Q38" s="304" t="s">
        <v>22</v>
      </c>
      <c r="R38" s="304"/>
      <c r="S38" s="304"/>
      <c r="T38" s="26">
        <f>SUM(T22:T37)</f>
        <v>0</v>
      </c>
      <c r="U38" s="26"/>
      <c r="V38" s="304" t="s">
        <v>22</v>
      </c>
      <c r="W38" s="304"/>
      <c r="X38" s="304"/>
      <c r="Y38" s="26">
        <f>SUM(Y22:Y37)</f>
        <v>0</v>
      </c>
      <c r="Z38" s="26"/>
      <c r="AA38" s="304" t="s">
        <v>22</v>
      </c>
      <c r="AB38" s="304"/>
      <c r="AC38" s="304"/>
      <c r="AD38" s="26">
        <f>SUM(AD22:AD37)</f>
        <v>0</v>
      </c>
      <c r="AE38" s="26"/>
      <c r="AF38" s="304" t="s">
        <v>22</v>
      </c>
      <c r="AG38" s="304"/>
      <c r="AH38" s="304"/>
      <c r="AI38" s="26">
        <f>SUM(AI22:AI37)</f>
        <v>110</v>
      </c>
      <c r="AJ38" s="26"/>
    </row>
    <row r="39" spans="1:36" ht="3" customHeight="1" x14ac:dyDescent="0.3">
      <c r="A39" s="5"/>
      <c r="B39" s="23"/>
      <c r="C39" s="74"/>
      <c r="I39" s="8"/>
      <c r="J39" s="10"/>
      <c r="N39" s="8"/>
      <c r="O39" s="10"/>
      <c r="S39" s="8"/>
      <c r="T39" s="10"/>
      <c r="X39" s="8"/>
      <c r="Y39" s="10"/>
      <c r="AC39" s="8"/>
      <c r="AD39" s="10"/>
      <c r="AH39" s="8"/>
      <c r="AI39" s="10"/>
    </row>
    <row r="40" spans="1:36" x14ac:dyDescent="0.3">
      <c r="B40" s="311" t="s">
        <v>33</v>
      </c>
      <c r="C40" s="311"/>
      <c r="D40" s="311"/>
      <c r="E40" s="311"/>
    </row>
    <row r="41" spans="1:36" x14ac:dyDescent="0.3">
      <c r="B41" s="21" t="s">
        <v>0</v>
      </c>
      <c r="C41" s="21" t="s">
        <v>87</v>
      </c>
      <c r="D41" s="21" t="s">
        <v>88</v>
      </c>
      <c r="E41" s="21" t="s">
        <v>89</v>
      </c>
    </row>
    <row r="42" spans="1:36" x14ac:dyDescent="0.3">
      <c r="B42" s="156" t="s">
        <v>320</v>
      </c>
      <c r="C42" s="65">
        <v>130</v>
      </c>
      <c r="D42" s="25">
        <v>50</v>
      </c>
      <c r="E42" s="64">
        <f t="shared" ref="E42:E48" si="15">+D42*C42</f>
        <v>6500</v>
      </c>
    </row>
    <row r="43" spans="1:36" x14ac:dyDescent="0.3">
      <c r="A43" s="24"/>
      <c r="B43" s="76"/>
      <c r="C43" s="65"/>
      <c r="D43" s="25"/>
      <c r="E43" s="64">
        <f t="shared" si="15"/>
        <v>0</v>
      </c>
      <c r="AH43" s="65"/>
    </row>
    <row r="44" spans="1:36" x14ac:dyDescent="0.3">
      <c r="A44" s="24"/>
      <c r="B44" s="12"/>
      <c r="C44" s="65"/>
      <c r="D44" s="25"/>
      <c r="E44" s="64">
        <f t="shared" si="15"/>
        <v>0</v>
      </c>
      <c r="AH44" s="65"/>
    </row>
    <row r="45" spans="1:36" x14ac:dyDescent="0.3">
      <c r="A45" s="24"/>
      <c r="B45" s="76"/>
      <c r="C45" s="65"/>
      <c r="D45" s="25"/>
      <c r="E45" s="64">
        <f t="shared" si="15"/>
        <v>0</v>
      </c>
      <c r="AH45" s="65"/>
    </row>
    <row r="46" spans="1:36" x14ac:dyDescent="0.3">
      <c r="B46" s="76"/>
      <c r="C46" s="65"/>
      <c r="D46" s="25"/>
      <c r="E46" s="64">
        <f t="shared" si="15"/>
        <v>0</v>
      </c>
      <c r="AH46" s="65"/>
    </row>
    <row r="47" spans="1:36" x14ac:dyDescent="0.3">
      <c r="B47" s="76"/>
      <c r="C47" s="65"/>
      <c r="D47" s="25"/>
      <c r="E47" s="64">
        <f t="shared" si="15"/>
        <v>0</v>
      </c>
      <c r="AH47" s="65"/>
    </row>
    <row r="48" spans="1:36" x14ac:dyDescent="0.3">
      <c r="B48" s="12" t="s">
        <v>53</v>
      </c>
      <c r="C48" s="65"/>
      <c r="D48" s="25"/>
      <c r="E48" s="64">
        <f t="shared" si="15"/>
        <v>0</v>
      </c>
      <c r="AH48" s="65"/>
    </row>
    <row r="49" spans="1:35" x14ac:dyDescent="0.3">
      <c r="B49" s="13"/>
      <c r="C49" s="65"/>
      <c r="D49" s="67"/>
      <c r="E49" s="64">
        <f>SUM(E40:E48)*D49</f>
        <v>0</v>
      </c>
      <c r="AH49" s="65"/>
    </row>
    <row r="50" spans="1:35" x14ac:dyDescent="0.3">
      <c r="B50" s="13" t="s">
        <v>23</v>
      </c>
      <c r="D50" s="25"/>
      <c r="E50" s="64">
        <f>+D50*C50</f>
        <v>0</v>
      </c>
      <c r="AH50" s="65"/>
    </row>
    <row r="51" spans="1:35" x14ac:dyDescent="0.3">
      <c r="B51" s="304" t="s">
        <v>22</v>
      </c>
      <c r="C51" s="304"/>
      <c r="D51" s="304"/>
      <c r="E51" s="26">
        <f>SUM(E40:E50)</f>
        <v>6500</v>
      </c>
      <c r="AH51" s="6"/>
    </row>
    <row r="52" spans="1:35" ht="3" customHeight="1" x14ac:dyDescent="0.3">
      <c r="A52" s="5"/>
      <c r="B52" s="23"/>
      <c r="C52" s="74"/>
      <c r="I52" s="8"/>
      <c r="J52" s="10"/>
      <c r="N52" s="8"/>
      <c r="O52" s="10"/>
      <c r="S52" s="8"/>
      <c r="T52" s="10"/>
      <c r="X52" s="8"/>
      <c r="Y52" s="10"/>
      <c r="AC52" s="8"/>
      <c r="AD52" s="10"/>
      <c r="AH52" s="65"/>
      <c r="AI52" s="10"/>
    </row>
    <row r="53" spans="1:35" x14ac:dyDescent="0.3">
      <c r="B53" s="303" t="s">
        <v>12</v>
      </c>
      <c r="C53" s="303"/>
      <c r="D53" s="303"/>
      <c r="E53" s="303"/>
    </row>
    <row r="54" spans="1:35" x14ac:dyDescent="0.3">
      <c r="A54" s="24"/>
      <c r="B54" s="21" t="s">
        <v>0</v>
      </c>
      <c r="C54" s="21" t="s">
        <v>87</v>
      </c>
      <c r="D54" s="21" t="s">
        <v>88</v>
      </c>
      <c r="E54" s="21" t="s">
        <v>89</v>
      </c>
      <c r="AH54" s="65"/>
    </row>
    <row r="55" spans="1:35" x14ac:dyDescent="0.3">
      <c r="A55" s="24"/>
      <c r="B55" s="155" t="s">
        <v>324</v>
      </c>
      <c r="C55" s="65">
        <v>1</v>
      </c>
      <c r="D55" s="25">
        <f>VLOOKUP(B55,Coster!$B$5:$D$43,3,FALSE)</f>
        <v>430</v>
      </c>
      <c r="E55" s="64">
        <f t="shared" ref="E55:E65" si="16">+D55*C55</f>
        <v>430</v>
      </c>
      <c r="AH55" s="66"/>
    </row>
    <row r="56" spans="1:35" x14ac:dyDescent="0.3">
      <c r="B56" s="155" t="s">
        <v>203</v>
      </c>
      <c r="C56" s="65">
        <v>4</v>
      </c>
      <c r="D56" s="25">
        <f>VLOOKUP(B56,Coster!$B$5:$D$43,3,FALSE)</f>
        <v>30</v>
      </c>
      <c r="E56" s="64">
        <f t="shared" si="16"/>
        <v>120</v>
      </c>
      <c r="AH56" s="66"/>
    </row>
    <row r="57" spans="1:35" x14ac:dyDescent="0.3">
      <c r="B57" s="156" t="s">
        <v>204</v>
      </c>
      <c r="C57" s="65">
        <v>1</v>
      </c>
      <c r="D57" s="25">
        <f>VLOOKUP(B57,Coster!$B$5:$D$43,3,FALSE)</f>
        <v>40</v>
      </c>
      <c r="E57" s="64">
        <f t="shared" si="16"/>
        <v>40</v>
      </c>
    </row>
    <row r="58" spans="1:35" x14ac:dyDescent="0.3">
      <c r="B58" s="156" t="s">
        <v>330</v>
      </c>
      <c r="C58" s="65">
        <v>1</v>
      </c>
      <c r="D58" s="25">
        <v>500</v>
      </c>
      <c r="E58" s="64">
        <f t="shared" si="16"/>
        <v>500</v>
      </c>
    </row>
    <row r="59" spans="1:35" x14ac:dyDescent="0.3">
      <c r="B59" s="12"/>
      <c r="C59" s="65"/>
      <c r="D59" s="25"/>
      <c r="E59" s="64">
        <f t="shared" si="16"/>
        <v>0</v>
      </c>
    </row>
    <row r="60" spans="1:35" x14ac:dyDescent="0.3">
      <c r="B60" s="13"/>
      <c r="C60" s="65"/>
      <c r="D60" s="25"/>
      <c r="E60" s="64">
        <f t="shared" si="16"/>
        <v>0</v>
      </c>
    </row>
    <row r="61" spans="1:35" x14ac:dyDescent="0.3">
      <c r="B61" s="12"/>
      <c r="C61" s="65"/>
      <c r="D61" s="25"/>
      <c r="E61" s="64">
        <f t="shared" si="16"/>
        <v>0</v>
      </c>
    </row>
    <row r="62" spans="1:35" x14ac:dyDescent="0.3">
      <c r="B62" s="12"/>
      <c r="C62" s="65"/>
      <c r="D62" s="25"/>
      <c r="E62" s="64">
        <f t="shared" si="16"/>
        <v>0</v>
      </c>
    </row>
    <row r="63" spans="1:35" x14ac:dyDescent="0.3">
      <c r="B63" s="12"/>
      <c r="C63" s="65"/>
      <c r="D63" s="25"/>
      <c r="E63" s="64">
        <f t="shared" si="16"/>
        <v>0</v>
      </c>
    </row>
    <row r="64" spans="1:35" x14ac:dyDescent="0.3">
      <c r="B64" s="12"/>
      <c r="C64" s="65"/>
      <c r="D64" s="25"/>
      <c r="E64" s="64">
        <f t="shared" si="16"/>
        <v>0</v>
      </c>
    </row>
    <row r="65" spans="2:5" x14ac:dyDescent="0.3">
      <c r="B65" s="12" t="s">
        <v>53</v>
      </c>
      <c r="C65" s="65">
        <f>2*3*8</f>
        <v>48</v>
      </c>
      <c r="D65" s="25">
        <v>30</v>
      </c>
      <c r="E65" s="64">
        <f t="shared" si="16"/>
        <v>1440</v>
      </c>
    </row>
    <row r="66" spans="2:5" x14ac:dyDescent="0.3">
      <c r="B66" s="13"/>
      <c r="C66" s="65"/>
      <c r="D66" s="67"/>
      <c r="E66" s="64">
        <f>SUM(E53:E65)*D66</f>
        <v>0</v>
      </c>
    </row>
    <row r="67" spans="2:5" x14ac:dyDescent="0.3">
      <c r="B67" s="13" t="s">
        <v>23</v>
      </c>
      <c r="C67" s="66"/>
      <c r="D67" s="25"/>
      <c r="E67" s="64">
        <f>+D67*C67</f>
        <v>0</v>
      </c>
    </row>
    <row r="68" spans="2:5" x14ac:dyDescent="0.3">
      <c r="B68" s="304" t="s">
        <v>22</v>
      </c>
      <c r="C68" s="304"/>
      <c r="D68" s="304"/>
      <c r="E68" s="26">
        <f>SUM(E53:E67)</f>
        <v>2530</v>
      </c>
    </row>
    <row r="69" spans="2:5" x14ac:dyDescent="0.3">
      <c r="B69" s="57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0"/>
      <c r="C72" s="51"/>
      <c r="D72" s="15"/>
      <c r="E72" s="15"/>
    </row>
    <row r="73" spans="2:5" x14ac:dyDescent="0.3">
      <c r="B73" s="50"/>
      <c r="C73" s="51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58"/>
      <c r="C77" s="59"/>
      <c r="D77" s="15"/>
      <c r="E77" s="15"/>
    </row>
    <row r="78" spans="2:5" x14ac:dyDescent="0.3">
      <c r="B78" s="58"/>
      <c r="C78" s="59"/>
      <c r="D78" s="15"/>
      <c r="E78" s="15"/>
    </row>
    <row r="79" spans="2:5" x14ac:dyDescent="0.3">
      <c r="B79" s="60"/>
      <c r="C79" s="61"/>
      <c r="D79" s="15"/>
      <c r="E79" s="15"/>
    </row>
    <row r="80" spans="2:5" x14ac:dyDescent="0.3">
      <c r="B80" s="62"/>
      <c r="C80" s="63"/>
      <c r="D80" s="15"/>
      <c r="E80" s="15"/>
    </row>
    <row r="81" spans="2:5" x14ac:dyDescent="0.3">
      <c r="B81" s="58"/>
      <c r="C81" s="56"/>
      <c r="D81" s="15"/>
      <c r="E81" s="15"/>
    </row>
    <row r="82" spans="2:5" x14ac:dyDescent="0.3">
      <c r="B82" s="58"/>
      <c r="C82" s="56"/>
      <c r="D82" s="15"/>
      <c r="E82" s="15"/>
    </row>
    <row r="83" spans="2:5" x14ac:dyDescent="0.3">
      <c r="B83" s="79"/>
      <c r="C83" s="80"/>
      <c r="D83" s="15"/>
      <c r="E83" s="15"/>
    </row>
  </sheetData>
  <mergeCells count="23">
    <mergeCell ref="AF38:AH38"/>
    <mergeCell ref="B40:E40"/>
    <mergeCell ref="B51:D51"/>
    <mergeCell ref="B53:E53"/>
    <mergeCell ref="B68:D68"/>
    <mergeCell ref="B38:D38"/>
    <mergeCell ref="G38:I38"/>
    <mergeCell ref="L38:N38"/>
    <mergeCell ref="Q38:S38"/>
    <mergeCell ref="V38:X38"/>
    <mergeCell ref="AA38:AC38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B1" sqref="B1:E1"/>
    </sheetView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/>
    <col min="8" max="10" width="12.6640625" hidden="1" customWidth="1"/>
    <col min="11" max="11" width="1.6640625" hidden="1" customWidth="1"/>
    <col min="12" max="12" width="45.6640625" hidden="1" customWidth="1"/>
    <col min="13" max="15" width="12.6640625" hidden="1" customWidth="1"/>
    <col min="16" max="16" width="1.6640625" hidden="1" customWidth="1"/>
    <col min="17" max="17" width="45.6640625" hidden="1" customWidth="1"/>
    <col min="18" max="20" width="12.6640625" hidden="1" customWidth="1"/>
    <col min="21" max="21" width="1.6640625" hidden="1" customWidth="1"/>
    <col min="22" max="22" width="45.6640625" hidden="1" customWidth="1"/>
    <col min="23" max="25" width="12.6640625" hidden="1" customWidth="1"/>
    <col min="26" max="26" width="1.6640625" hidden="1" customWidth="1"/>
    <col min="27" max="27" width="45.6640625" hidden="1" customWidth="1"/>
    <col min="28" max="30" width="12.6640625" hidden="1" customWidth="1"/>
    <col min="31" max="31" width="1.6640625" hidden="1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Riassunto!D24</f>
        <v>Associazione Alpini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+Riassunto!L24</f>
        <v>699.5</v>
      </c>
      <c r="D2" s="306"/>
      <c r="E2" s="306"/>
    </row>
    <row r="3" spans="1:36" x14ac:dyDescent="0.3">
      <c r="A3" s="5"/>
      <c r="B3" s="5" t="s">
        <v>17</v>
      </c>
      <c r="C3" s="307">
        <f>Riassunto!I24</f>
        <v>24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34.310221586847746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34.310221586847746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24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/>
      <c r="C22" s="65"/>
      <c r="D22" s="25"/>
      <c r="E22" s="64">
        <f t="shared" ref="E22:E33" si="3"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76"/>
      <c r="C23" s="65"/>
      <c r="D23" s="25"/>
      <c r="E23" s="64">
        <f t="shared" si="3"/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76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76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>
        <v>0</v>
      </c>
      <c r="D33" s="25">
        <v>30</v>
      </c>
      <c r="E33" s="64">
        <f t="shared" si="3"/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  <c r="AH43" s="65"/>
    </row>
    <row r="44" spans="1:36" x14ac:dyDescent="0.3">
      <c r="B44" s="76"/>
      <c r="C44" s="65"/>
      <c r="D44" s="25"/>
      <c r="E44" s="64">
        <f t="shared" si="10"/>
        <v>0</v>
      </c>
      <c r="AH44" s="65"/>
    </row>
    <row r="45" spans="1:36" x14ac:dyDescent="0.3">
      <c r="B45" s="76"/>
      <c r="C45" s="65"/>
      <c r="D45" s="25"/>
      <c r="E45" s="64">
        <f t="shared" si="10"/>
        <v>0</v>
      </c>
      <c r="AH45" s="65"/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  <c r="AH46" s="65"/>
    </row>
    <row r="47" spans="1:36" x14ac:dyDescent="0.3">
      <c r="B47" s="13"/>
      <c r="C47" s="65"/>
      <c r="D47" s="67"/>
      <c r="E47" s="64">
        <f>SUM(E38:E46)*D47</f>
        <v>0</v>
      </c>
      <c r="AH47" s="65"/>
    </row>
    <row r="48" spans="1:36" x14ac:dyDescent="0.3">
      <c r="B48" s="13" t="s">
        <v>23</v>
      </c>
      <c r="D48" s="25">
        <v>0</v>
      </c>
      <c r="E48" s="64">
        <f>+D48*C48</f>
        <v>0</v>
      </c>
      <c r="AH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H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65"/>
      <c r="AI50" s="10"/>
    </row>
    <row r="51" spans="1:35" x14ac:dyDescent="0.3">
      <c r="B51" s="303" t="s">
        <v>12</v>
      </c>
      <c r="C51" s="303"/>
      <c r="D51" s="303"/>
      <c r="E51" s="303"/>
      <c r="AH51" s="6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H52" s="65"/>
    </row>
    <row r="53" spans="1:35" x14ac:dyDescent="0.3">
      <c r="A53" s="24"/>
      <c r="B53" s="76"/>
      <c r="C53" s="65"/>
      <c r="D53" s="25"/>
      <c r="E53" s="64">
        <f t="shared" ref="E53:E63" si="11">+D53*C53</f>
        <v>0</v>
      </c>
    </row>
    <row r="54" spans="1:35" x14ac:dyDescent="0.3">
      <c r="B54" s="76"/>
      <c r="C54" s="65"/>
      <c r="D54" s="25"/>
      <c r="E54" s="64">
        <f t="shared" si="11"/>
        <v>0</v>
      </c>
      <c r="AH54" s="65"/>
    </row>
    <row r="55" spans="1:35" x14ac:dyDescent="0.3">
      <c r="B55" s="76"/>
      <c r="C55" s="65"/>
      <c r="D55" s="25"/>
      <c r="E55" s="64">
        <f t="shared" si="11"/>
        <v>0</v>
      </c>
      <c r="AH55" s="66"/>
    </row>
    <row r="56" spans="1:35" x14ac:dyDescent="0.3">
      <c r="B56" s="76"/>
      <c r="C56" s="65"/>
      <c r="D56" s="25"/>
      <c r="E56" s="64">
        <f t="shared" si="11"/>
        <v>0</v>
      </c>
      <c r="AH56" s="66"/>
    </row>
    <row r="57" spans="1:35" x14ac:dyDescent="0.3">
      <c r="B57" s="76"/>
      <c r="C57" s="65"/>
      <c r="D57" s="25"/>
      <c r="E57" s="64">
        <f t="shared" si="11"/>
        <v>0</v>
      </c>
    </row>
    <row r="58" spans="1:35" x14ac:dyDescent="0.3">
      <c r="B58" s="76"/>
      <c r="C58" s="65"/>
      <c r="D58" s="25"/>
      <c r="E58" s="64">
        <f t="shared" si="11"/>
        <v>0</v>
      </c>
    </row>
    <row r="59" spans="1:35" x14ac:dyDescent="0.3">
      <c r="B59" s="76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76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/>
      <c r="D63" s="25">
        <v>30</v>
      </c>
      <c r="E63" s="64">
        <f t="shared" si="11"/>
        <v>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C10" sqref="C10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customWidth="1" collapsed="1"/>
    <col min="13" max="15" width="12.6640625" customWidth="1"/>
    <col min="16" max="16" width="1.6640625" customWidth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Riassunto!D25</f>
        <v>Associazioni S.Filippo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+Riassunto!L25</f>
        <v>3534.36</v>
      </c>
      <c r="D2" s="306"/>
      <c r="E2" s="306"/>
    </row>
    <row r="3" spans="1:36" x14ac:dyDescent="0.3">
      <c r="A3" s="5"/>
      <c r="B3" s="5" t="s">
        <v>17</v>
      </c>
      <c r="C3" s="307">
        <f>Riassunto!I25</f>
        <v>258.10000000000002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73.02595095010129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</v>
      </c>
      <c r="D8" s="108">
        <v>0.8</v>
      </c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530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0.88</v>
      </c>
      <c r="D9" s="108">
        <v>0.96</v>
      </c>
      <c r="E9" s="109">
        <f t="shared" ref="E9:E12" si="0">+D9-C9</f>
        <v>7.999999999999996E-2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0.88</v>
      </c>
      <c r="D10" s="108">
        <v>0.88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1.5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0.88</v>
      </c>
      <c r="D11" s="108">
        <v>0.88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0.2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0.54517760000000004</v>
      </c>
      <c r="D12" s="110">
        <f>+D8*D9*D10*D11</f>
        <v>0.59473920000000002</v>
      </c>
      <c r="E12" s="111">
        <f t="shared" si="0"/>
        <v>4.9561599999999983E-2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+ROUND(C13+E12,10)</f>
        <v>4.9561599999999997E-2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0.18200000000000002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69.406667979492752</v>
      </c>
      <c r="D17" s="70">
        <v>30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245.30815104000001</v>
      </c>
      <c r="D18" s="72">
        <f>+(D17*$C$2/1000)+$C$4</f>
        <v>106.0308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87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55" t="s">
        <v>171</v>
      </c>
      <c r="C22" s="65"/>
      <c r="D22" s="25">
        <v>600</v>
      </c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>
        <v>500</v>
      </c>
      <c r="O22" s="64">
        <f>+N22*M22</f>
        <v>500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368</v>
      </c>
      <c r="AG22" s="65">
        <v>50</v>
      </c>
      <c r="AH22" s="17">
        <v>30</v>
      </c>
      <c r="AI22" s="64">
        <f>+AH22*AG22</f>
        <v>1500</v>
      </c>
      <c r="AJ22" s="64"/>
    </row>
    <row r="23" spans="1:36" x14ac:dyDescent="0.3">
      <c r="B23" s="156" t="s">
        <v>197</v>
      </c>
      <c r="C23" s="65"/>
      <c r="D23" s="25">
        <v>1200</v>
      </c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156" t="s">
        <v>429</v>
      </c>
      <c r="M23" s="125">
        <f>+M8*(1-M9)</f>
        <v>530</v>
      </c>
      <c r="N23" s="17">
        <v>40</v>
      </c>
      <c r="O23" s="64">
        <f t="shared" ref="O23:O32" si="5">+N23*M23</f>
        <v>21200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156" t="s">
        <v>255</v>
      </c>
      <c r="AG23" s="65">
        <v>1</v>
      </c>
      <c r="AH23" s="25">
        <v>10</v>
      </c>
      <c r="AI23" s="64">
        <f t="shared" ref="AI23:AI32" si="9">+AH23*AG23</f>
        <v>10</v>
      </c>
      <c r="AJ23" s="64"/>
    </row>
    <row r="24" spans="1:36" x14ac:dyDescent="0.3">
      <c r="B24" s="156" t="s">
        <v>365</v>
      </c>
      <c r="C24" s="65"/>
      <c r="D24" s="25">
        <f>+Riello!T5</f>
        <v>5700</v>
      </c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156" t="s">
        <v>369</v>
      </c>
      <c r="AG24" s="65">
        <v>1</v>
      </c>
      <c r="AH24" s="25">
        <v>100</v>
      </c>
      <c r="AI24" s="64">
        <f t="shared" si="9"/>
        <v>100</v>
      </c>
      <c r="AJ24" s="64"/>
    </row>
    <row r="25" spans="1:36" x14ac:dyDescent="0.3">
      <c r="B25" s="156" t="s">
        <v>366</v>
      </c>
      <c r="C25" s="65"/>
      <c r="D25" s="25">
        <v>1200</v>
      </c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 t="s">
        <v>370</v>
      </c>
      <c r="AG25" s="65">
        <v>1</v>
      </c>
      <c r="AH25" s="25">
        <v>150</v>
      </c>
      <c r="AI25" s="64">
        <f t="shared" si="9"/>
        <v>150</v>
      </c>
      <c r="AJ25" s="64"/>
    </row>
    <row r="26" spans="1:36" x14ac:dyDescent="0.3">
      <c r="B26" s="156" t="s">
        <v>367</v>
      </c>
      <c r="C26" s="65"/>
      <c r="D26" s="25">
        <f>+Grundfos!F12</f>
        <v>600</v>
      </c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56" t="s">
        <v>272</v>
      </c>
      <c r="C27" s="65"/>
      <c r="D27" s="25">
        <v>1300</v>
      </c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156" t="s">
        <v>270</v>
      </c>
      <c r="C28" s="65"/>
      <c r="D28" s="25">
        <v>1500</v>
      </c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156" t="s">
        <v>328</v>
      </c>
      <c r="C29" s="65"/>
      <c r="D29" s="25">
        <v>500</v>
      </c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156" t="s">
        <v>227</v>
      </c>
      <c r="C30" s="65"/>
      <c r="D30" s="25">
        <v>2500</v>
      </c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156"/>
      <c r="C31" s="65"/>
      <c r="D31" s="2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156"/>
      <c r="C32" s="153"/>
      <c r="D32" s="153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55" t="s">
        <v>53</v>
      </c>
      <c r="C33" s="65"/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/>
      <c r="M34" s="66"/>
      <c r="N34" s="67"/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/>
      <c r="D35" s="25">
        <v>300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500</v>
      </c>
      <c r="O35" s="64">
        <f>+N35*M35</f>
        <v>500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22200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1760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156" t="s">
        <v>362</v>
      </c>
      <c r="C40" s="65"/>
      <c r="D40" s="25">
        <v>450</v>
      </c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  <c r="AF43" s="65"/>
    </row>
    <row r="44" spans="1:36" x14ac:dyDescent="0.3">
      <c r="B44" s="76"/>
      <c r="C44" s="65"/>
      <c r="D44" s="25"/>
      <c r="E44" s="64">
        <f t="shared" si="10"/>
        <v>0</v>
      </c>
      <c r="AF44" s="65"/>
    </row>
    <row r="45" spans="1:36" x14ac:dyDescent="0.3">
      <c r="B45" s="76"/>
      <c r="C45" s="65"/>
      <c r="D45" s="25"/>
      <c r="E45" s="64">
        <f t="shared" si="10"/>
        <v>0</v>
      </c>
      <c r="AF45" s="65"/>
    </row>
    <row r="46" spans="1:36" x14ac:dyDescent="0.3">
      <c r="B46" s="12"/>
      <c r="C46" s="65"/>
      <c r="D46" s="25"/>
      <c r="E46" s="64">
        <f t="shared" si="10"/>
        <v>0</v>
      </c>
      <c r="AF46" s="65"/>
    </row>
    <row r="47" spans="1:36" x14ac:dyDescent="0.3">
      <c r="B47" s="13"/>
      <c r="C47" s="65"/>
      <c r="D47" s="67"/>
      <c r="E47" s="64">
        <f>SUM(E38:E46)*D47</f>
        <v>0</v>
      </c>
      <c r="AF47" s="65"/>
    </row>
    <row r="48" spans="1:36" x14ac:dyDescent="0.3">
      <c r="B48" s="13" t="s">
        <v>23</v>
      </c>
      <c r="C48" s="65"/>
      <c r="D48" s="25">
        <v>200</v>
      </c>
      <c r="E48" s="64">
        <f>+D48*C48</f>
        <v>0</v>
      </c>
      <c r="AF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F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F50" s="65"/>
      <c r="AH50" s="8"/>
      <c r="AI50" s="10"/>
    </row>
    <row r="51" spans="1:35" x14ac:dyDescent="0.3">
      <c r="B51" s="303" t="s">
        <v>12</v>
      </c>
      <c r="C51" s="303"/>
      <c r="D51" s="303"/>
      <c r="E51" s="303"/>
      <c r="AF51" s="6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F52" s="65"/>
    </row>
    <row r="53" spans="1:35" x14ac:dyDescent="0.3">
      <c r="A53" s="24"/>
      <c r="B53" s="155" t="s">
        <v>200</v>
      </c>
      <c r="C53" s="65">
        <v>1</v>
      </c>
      <c r="D53" s="25">
        <f>VLOOKUP(B53,Coster!$B$5:$D$43,3,FALSE)</f>
        <v>630</v>
      </c>
      <c r="E53" s="64">
        <f t="shared" ref="E53:E63" si="11">+D53*C53</f>
        <v>630</v>
      </c>
    </row>
    <row r="54" spans="1:35" x14ac:dyDescent="0.3">
      <c r="B54" s="155" t="s">
        <v>203</v>
      </c>
      <c r="C54" s="65">
        <v>1</v>
      </c>
      <c r="D54" s="25">
        <f>VLOOKUP(B54,Coster!$B$5:$D$43,3,FALSE)</f>
        <v>30</v>
      </c>
      <c r="E54" s="64">
        <f t="shared" si="11"/>
        <v>30</v>
      </c>
      <c r="AF54" s="65"/>
    </row>
    <row r="55" spans="1:35" x14ac:dyDescent="0.3">
      <c r="B55" s="156" t="s">
        <v>204</v>
      </c>
      <c r="C55" s="65">
        <v>2</v>
      </c>
      <c r="D55" s="25">
        <f>VLOOKUP(B55,Coster!$B$5:$D$43,3,FALSE)</f>
        <v>40</v>
      </c>
      <c r="E55" s="64">
        <f t="shared" si="11"/>
        <v>80</v>
      </c>
      <c r="AF55" s="66"/>
    </row>
    <row r="56" spans="1:35" x14ac:dyDescent="0.3">
      <c r="B56" s="156" t="s">
        <v>363</v>
      </c>
      <c r="C56" s="65">
        <v>1</v>
      </c>
      <c r="D56" s="25">
        <v>500</v>
      </c>
      <c r="E56" s="64">
        <f t="shared" si="11"/>
        <v>500</v>
      </c>
      <c r="AF56" s="66"/>
    </row>
    <row r="57" spans="1:35" x14ac:dyDescent="0.3">
      <c r="B57" s="155" t="s">
        <v>220</v>
      </c>
      <c r="C57" s="65">
        <v>1</v>
      </c>
      <c r="D57" s="25">
        <f>Coster!D13</f>
        <v>310</v>
      </c>
      <c r="E57" s="64">
        <f t="shared" si="11"/>
        <v>310</v>
      </c>
    </row>
    <row r="58" spans="1:35" x14ac:dyDescent="0.3">
      <c r="B58" s="76"/>
      <c r="C58" s="65"/>
      <c r="D58" s="25"/>
      <c r="E58" s="64">
        <f t="shared" si="11"/>
        <v>0</v>
      </c>
    </row>
    <row r="59" spans="1:35" x14ac:dyDescent="0.3">
      <c r="B59" s="76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76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157">
        <v>48</v>
      </c>
      <c r="D63" s="25">
        <v>30</v>
      </c>
      <c r="E63" s="64">
        <f t="shared" si="11"/>
        <v>1440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2990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C14" sqref="C14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Riassunto!D26</f>
        <v>Magazzino Comunale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+Riassunto!L26</f>
        <v>1079</v>
      </c>
      <c r="D2" s="306"/>
      <c r="E2" s="306"/>
    </row>
    <row r="3" spans="1:36" x14ac:dyDescent="0.3">
      <c r="A3" s="5"/>
      <c r="B3" s="5" t="s">
        <v>17</v>
      </c>
      <c r="C3" s="307">
        <f>Riassunto!I26</f>
        <v>25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23.169601482854496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0.02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0.02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22.706209453197406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24.5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76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76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76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>
        <v>0</v>
      </c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  <c r="AI41" s="65"/>
    </row>
    <row r="42" spans="1:36" x14ac:dyDescent="0.3">
      <c r="A42" s="24"/>
      <c r="B42" s="76"/>
      <c r="C42" s="65"/>
      <c r="D42" s="25"/>
      <c r="E42" s="64">
        <f t="shared" si="10"/>
        <v>0</v>
      </c>
      <c r="AI42" s="65"/>
    </row>
    <row r="43" spans="1:36" x14ac:dyDescent="0.3">
      <c r="A43" s="24"/>
      <c r="B43" s="76"/>
      <c r="C43" s="65"/>
      <c r="D43" s="25"/>
      <c r="E43" s="64">
        <f t="shared" si="10"/>
        <v>0</v>
      </c>
      <c r="AI43" s="65"/>
    </row>
    <row r="44" spans="1:36" x14ac:dyDescent="0.3">
      <c r="B44" s="76"/>
      <c r="C44" s="65"/>
      <c r="D44" s="25"/>
      <c r="E44" s="64">
        <f t="shared" si="10"/>
        <v>0</v>
      </c>
      <c r="AI44" s="65"/>
    </row>
    <row r="45" spans="1:36" x14ac:dyDescent="0.3">
      <c r="B45" s="76"/>
      <c r="C45" s="65"/>
      <c r="D45" s="25"/>
      <c r="E45" s="64">
        <f t="shared" si="10"/>
        <v>0</v>
      </c>
      <c r="AI45" s="65"/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  <c r="AI46" s="65"/>
    </row>
    <row r="47" spans="1:36" x14ac:dyDescent="0.3">
      <c r="B47" s="13" t="s">
        <v>90</v>
      </c>
      <c r="C47" s="65"/>
      <c r="D47" s="67">
        <v>0.05</v>
      </c>
      <c r="E47" s="64">
        <f>SUM(E38:E46)*D47</f>
        <v>0</v>
      </c>
      <c r="AI47" s="65"/>
    </row>
    <row r="48" spans="1:36" x14ac:dyDescent="0.3">
      <c r="B48" s="13" t="s">
        <v>23</v>
      </c>
      <c r="D48" s="25">
        <v>0</v>
      </c>
      <c r="E48" s="64">
        <f>+D48*C48</f>
        <v>0</v>
      </c>
      <c r="AI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I49" s="6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65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I52" s="65"/>
    </row>
    <row r="53" spans="1:35" x14ac:dyDescent="0.3">
      <c r="A53" s="24"/>
      <c r="B53" s="155" t="s">
        <v>213</v>
      </c>
      <c r="C53" s="65">
        <v>1</v>
      </c>
      <c r="D53" s="25">
        <f>VLOOKUP(B53,Coster!$B$5:$D$43,3,FALSE)</f>
        <v>480</v>
      </c>
      <c r="E53" s="64">
        <f t="shared" ref="E53:E63" si="11">+D53*C53</f>
        <v>480</v>
      </c>
      <c r="AI53" s="66"/>
    </row>
    <row r="54" spans="1:35" x14ac:dyDescent="0.3">
      <c r="B54" s="156" t="s">
        <v>203</v>
      </c>
      <c r="C54" s="65">
        <v>1</v>
      </c>
      <c r="D54" s="25">
        <f>VLOOKUP(B54,Coster!$B$5:$D$43,3,FALSE)</f>
        <v>30</v>
      </c>
      <c r="E54" s="64">
        <f t="shared" si="11"/>
        <v>30</v>
      </c>
      <c r="AI54" s="66"/>
    </row>
    <row r="55" spans="1:35" x14ac:dyDescent="0.3">
      <c r="B55" s="156" t="s">
        <v>202</v>
      </c>
      <c r="C55" s="65">
        <v>1</v>
      </c>
      <c r="D55" s="25">
        <f>VLOOKUP(B55,Coster!$B$5:$D$43,3,FALSE)</f>
        <v>30</v>
      </c>
      <c r="E55" s="64">
        <f t="shared" si="11"/>
        <v>30</v>
      </c>
    </row>
    <row r="56" spans="1:35" x14ac:dyDescent="0.3">
      <c r="B56" s="155"/>
      <c r="C56" s="65"/>
      <c r="D56" s="25"/>
      <c r="E56" s="64">
        <f t="shared" si="11"/>
        <v>0</v>
      </c>
    </row>
    <row r="57" spans="1:35" x14ac:dyDescent="0.3">
      <c r="B57" s="155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55"/>
      <c r="C59" s="65"/>
      <c r="D59" s="25"/>
      <c r="E59" s="64">
        <f t="shared" si="11"/>
        <v>0</v>
      </c>
    </row>
    <row r="60" spans="1:35" x14ac:dyDescent="0.3">
      <c r="B60" s="155"/>
      <c r="C60" s="65"/>
      <c r="D60" s="25"/>
      <c r="E60" s="64">
        <f t="shared" si="11"/>
        <v>0</v>
      </c>
    </row>
    <row r="61" spans="1:35" x14ac:dyDescent="0.3">
      <c r="B61" s="155"/>
      <c r="C61" s="65"/>
      <c r="D61" s="25"/>
      <c r="E61" s="64">
        <f t="shared" si="11"/>
        <v>0</v>
      </c>
    </row>
    <row r="62" spans="1:35" x14ac:dyDescent="0.3">
      <c r="B62" s="155"/>
      <c r="C62" s="65"/>
      <c r="D62" s="25"/>
      <c r="E62" s="64">
        <f t="shared" si="11"/>
        <v>0</v>
      </c>
    </row>
    <row r="63" spans="1:35" x14ac:dyDescent="0.3">
      <c r="B63" s="155" t="s">
        <v>53</v>
      </c>
      <c r="C63" s="65">
        <v>8</v>
      </c>
      <c r="D63" s="25">
        <v>30</v>
      </c>
      <c r="E63" s="64">
        <f t="shared" si="11"/>
        <v>240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780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D10" sqref="D10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customWidth="1" collapsed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Riassunto!D27</f>
        <v>Palasport Schiavonia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+Riassunto!L27</f>
        <v>21060.799999999999</v>
      </c>
      <c r="D2" s="306"/>
      <c r="E2" s="306"/>
    </row>
    <row r="3" spans="1:36" x14ac:dyDescent="0.3">
      <c r="A3" s="5"/>
      <c r="B3" s="5" t="s">
        <v>17</v>
      </c>
      <c r="C3" s="307">
        <f>Riassunto!I27</f>
        <v>640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30.388209374762592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0.9</v>
      </c>
      <c r="D8" s="108">
        <v>0.9</v>
      </c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0.96</v>
      </c>
      <c r="D9" s="108">
        <v>0.96</v>
      </c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0.96</v>
      </c>
      <c r="D10" s="108">
        <v>0.96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0.94</v>
      </c>
      <c r="D11" s="108">
        <v>0.94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0.77967359999999997</v>
      </c>
      <c r="D12" s="110">
        <f>+D8*D9*D10*D11</f>
        <v>0.77967359999999997</v>
      </c>
      <c r="E12" s="111">
        <f t="shared" si="0"/>
        <v>0</v>
      </c>
      <c r="F12" s="16"/>
      <c r="G12" s="13" t="s">
        <v>48</v>
      </c>
      <c r="H12" s="77">
        <v>0.15</v>
      </c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</v>
      </c>
      <c r="D13" s="113"/>
      <c r="E13" s="113"/>
      <c r="F13" s="15"/>
      <c r="G13" s="13" t="s">
        <v>49</v>
      </c>
      <c r="H13" s="77">
        <v>0.4</v>
      </c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/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30.388209374762592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640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55" t="s">
        <v>385</v>
      </c>
      <c r="C22" s="65"/>
      <c r="D22" s="25">
        <v>500</v>
      </c>
      <c r="E22" s="64">
        <f>+D22*C22</f>
        <v>0</v>
      </c>
      <c r="F22" s="64"/>
      <c r="G22" s="156" t="s">
        <v>280</v>
      </c>
      <c r="H22" s="65"/>
      <c r="I22" s="25">
        <f>+Riello!H31</f>
        <v>3400</v>
      </c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156" t="s">
        <v>255</v>
      </c>
      <c r="AG22" s="65">
        <v>3</v>
      </c>
      <c r="AH22" s="25">
        <v>10</v>
      </c>
      <c r="AI22" s="64">
        <f>+AH22*AG22</f>
        <v>30</v>
      </c>
      <c r="AJ22" s="64"/>
    </row>
    <row r="23" spans="1:36" x14ac:dyDescent="0.3">
      <c r="B23" s="156" t="s">
        <v>423</v>
      </c>
      <c r="C23" s="65"/>
      <c r="D23" s="25">
        <f>+Riello!P21</f>
        <v>25000</v>
      </c>
      <c r="E23" s="64">
        <f t="shared" ref="E23:E27" si="3">+D23*C23</f>
        <v>0</v>
      </c>
      <c r="F23" s="64"/>
      <c r="G23" s="156" t="s">
        <v>281</v>
      </c>
      <c r="H23" s="65"/>
      <c r="I23" s="25">
        <v>1500</v>
      </c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156" t="s">
        <v>357</v>
      </c>
      <c r="AG23" s="65">
        <v>1</v>
      </c>
      <c r="AH23" s="25">
        <v>20</v>
      </c>
      <c r="AI23" s="64">
        <f t="shared" ref="AI23:AI32" si="9">+AH23*AG23</f>
        <v>20</v>
      </c>
      <c r="AJ23" s="64"/>
    </row>
    <row r="24" spans="1:36" x14ac:dyDescent="0.3">
      <c r="B24" s="156" t="s">
        <v>391</v>
      </c>
      <c r="C24" s="65"/>
      <c r="D24" s="25">
        <v>1500</v>
      </c>
      <c r="E24" s="64">
        <f t="shared" ref="E24" si="10">+D24*C24</f>
        <v>0</v>
      </c>
      <c r="F24" s="64"/>
      <c r="G24" s="15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156" t="s">
        <v>224</v>
      </c>
      <c r="AG24" s="65">
        <v>1</v>
      </c>
      <c r="AH24" s="25">
        <v>80</v>
      </c>
      <c r="AI24" s="64">
        <f t="shared" si="9"/>
        <v>80</v>
      </c>
      <c r="AJ24" s="64"/>
    </row>
    <row r="25" spans="1:36" x14ac:dyDescent="0.3">
      <c r="B25" s="156" t="s">
        <v>248</v>
      </c>
      <c r="C25" s="65"/>
      <c r="D25" s="25">
        <v>500</v>
      </c>
      <c r="E25" s="64">
        <f t="shared" si="3"/>
        <v>0</v>
      </c>
      <c r="F25" s="64"/>
      <c r="G25" s="15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56" t="s">
        <v>424</v>
      </c>
      <c r="C26" s="65"/>
      <c r="D26" s="25">
        <v>1500</v>
      </c>
      <c r="E26" s="64">
        <f t="shared" si="3"/>
        <v>0</v>
      </c>
      <c r="F26" s="64"/>
      <c r="G26" s="15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56" t="s">
        <v>425</v>
      </c>
      <c r="C27" s="65"/>
      <c r="D27" s="25">
        <v>1000</v>
      </c>
      <c r="E27" s="64">
        <f t="shared" si="3"/>
        <v>0</v>
      </c>
      <c r="F27" s="64"/>
      <c r="G27" s="15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156"/>
      <c r="C28" s="65"/>
      <c r="D28" s="25"/>
      <c r="E28" s="64"/>
      <c r="F28" s="64"/>
      <c r="G28" s="15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156"/>
      <c r="C29" s="65"/>
      <c r="D29" s="25"/>
      <c r="E29" s="64"/>
      <c r="F29" s="64"/>
      <c r="G29" s="15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156"/>
      <c r="C30" s="65"/>
      <c r="D30" s="25"/>
      <c r="E30" s="64"/>
      <c r="G30" s="156"/>
      <c r="H30" s="6"/>
      <c r="I30" s="153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156"/>
      <c r="C31" s="65"/>
      <c r="D31" s="25"/>
      <c r="E31" s="64"/>
      <c r="G31" s="156"/>
      <c r="H31" s="65"/>
      <c r="I31" s="153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156"/>
      <c r="C32" s="65"/>
      <c r="D32" s="64"/>
      <c r="E32" s="64"/>
      <c r="G32" s="156"/>
      <c r="H32" s="153"/>
      <c r="I32" s="153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55" t="s">
        <v>53</v>
      </c>
      <c r="C33" s="65"/>
      <c r="D33" s="25">
        <v>30</v>
      </c>
      <c r="E33" s="64">
        <f>+D33*C33</f>
        <v>0</v>
      </c>
      <c r="F33" s="64"/>
      <c r="G33" s="155" t="s">
        <v>53</v>
      </c>
      <c r="H33" s="65"/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/>
      <c r="H34" s="66"/>
      <c r="I34" s="67"/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/>
      <c r="D35" s="25">
        <v>500</v>
      </c>
      <c r="E35" s="64">
        <f>+D35*C35</f>
        <v>0</v>
      </c>
      <c r="F35" s="64"/>
      <c r="G35" s="13" t="s">
        <v>23</v>
      </c>
      <c r="H35" s="66"/>
      <c r="I35" s="25">
        <v>300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130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1">+D40*C40</f>
        <v>0</v>
      </c>
    </row>
    <row r="41" spans="1:36" x14ac:dyDescent="0.3">
      <c r="A41" s="24"/>
      <c r="B41" s="76"/>
      <c r="C41" s="65"/>
      <c r="D41" s="25"/>
      <c r="E41" s="64">
        <f t="shared" si="11"/>
        <v>0</v>
      </c>
    </row>
    <row r="42" spans="1:36" x14ac:dyDescent="0.3">
      <c r="A42" s="24"/>
      <c r="B42" s="76"/>
      <c r="C42" s="65"/>
      <c r="D42" s="25"/>
      <c r="E42" s="64">
        <f t="shared" si="11"/>
        <v>0</v>
      </c>
    </row>
    <row r="43" spans="1:36" x14ac:dyDescent="0.3">
      <c r="A43" s="24"/>
      <c r="B43" s="76"/>
      <c r="C43" s="65"/>
      <c r="D43" s="25"/>
      <c r="E43" s="64">
        <f t="shared" si="11"/>
        <v>0</v>
      </c>
    </row>
    <row r="44" spans="1:36" x14ac:dyDescent="0.3">
      <c r="B44" s="76"/>
      <c r="C44" s="65"/>
      <c r="D44" s="25"/>
      <c r="E44" s="64">
        <f t="shared" si="11"/>
        <v>0</v>
      </c>
      <c r="AH44" s="65"/>
    </row>
    <row r="45" spans="1:36" x14ac:dyDescent="0.3">
      <c r="B45" s="76"/>
      <c r="C45" s="65"/>
      <c r="D45" s="25"/>
      <c r="E45" s="64">
        <f t="shared" si="11"/>
        <v>0</v>
      </c>
      <c r="AH45" s="65"/>
    </row>
    <row r="46" spans="1:36" x14ac:dyDescent="0.3">
      <c r="B46" s="12" t="s">
        <v>53</v>
      </c>
      <c r="C46" s="65"/>
      <c r="D46" s="25">
        <v>30</v>
      </c>
      <c r="E46" s="64">
        <f t="shared" si="11"/>
        <v>0</v>
      </c>
      <c r="AH46" s="65"/>
    </row>
    <row r="47" spans="1:36" x14ac:dyDescent="0.3">
      <c r="B47" s="13" t="s">
        <v>90</v>
      </c>
      <c r="C47" s="65"/>
      <c r="D47" s="67">
        <v>0.05</v>
      </c>
      <c r="E47" s="64">
        <f>SUM(E38:E46)*D47</f>
        <v>0</v>
      </c>
      <c r="AH47" s="65"/>
    </row>
    <row r="48" spans="1:36" x14ac:dyDescent="0.3">
      <c r="B48" s="13" t="s">
        <v>23</v>
      </c>
      <c r="D48" s="25">
        <v>0</v>
      </c>
      <c r="E48" s="64">
        <f>+D48*C48</f>
        <v>0</v>
      </c>
      <c r="AH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H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65"/>
      <c r="AI50" s="10"/>
    </row>
    <row r="51" spans="1:35" x14ac:dyDescent="0.3">
      <c r="B51" s="303" t="s">
        <v>12</v>
      </c>
      <c r="C51" s="303"/>
      <c r="D51" s="303"/>
      <c r="E51" s="303"/>
      <c r="AH51" s="65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H52" s="6"/>
    </row>
    <row r="53" spans="1:35" x14ac:dyDescent="0.3">
      <c r="A53" s="24"/>
      <c r="B53" s="76"/>
      <c r="C53" s="65"/>
      <c r="D53" s="25"/>
      <c r="E53" s="64">
        <f t="shared" ref="E53:E63" si="12">+D53*C53</f>
        <v>0</v>
      </c>
      <c r="AH53" s="65"/>
    </row>
    <row r="54" spans="1:35" x14ac:dyDescent="0.3">
      <c r="B54" s="76"/>
      <c r="C54" s="65"/>
      <c r="D54" s="25"/>
      <c r="E54" s="64">
        <f t="shared" si="12"/>
        <v>0</v>
      </c>
    </row>
    <row r="55" spans="1:35" x14ac:dyDescent="0.3">
      <c r="B55" s="76"/>
      <c r="C55" s="65"/>
      <c r="D55" s="25"/>
      <c r="E55" s="64">
        <f t="shared" si="12"/>
        <v>0</v>
      </c>
      <c r="AH55" s="65"/>
    </row>
    <row r="56" spans="1:35" x14ac:dyDescent="0.3">
      <c r="B56" s="76"/>
      <c r="C56" s="65"/>
      <c r="D56" s="25"/>
      <c r="E56" s="64">
        <f t="shared" si="12"/>
        <v>0</v>
      </c>
      <c r="AH56" s="66"/>
    </row>
    <row r="57" spans="1:35" x14ac:dyDescent="0.3">
      <c r="B57" s="76"/>
      <c r="C57" s="65"/>
      <c r="D57" s="25"/>
      <c r="E57" s="64">
        <f t="shared" si="12"/>
        <v>0</v>
      </c>
      <c r="AH57" s="66"/>
    </row>
    <row r="58" spans="1:35" x14ac:dyDescent="0.3">
      <c r="B58" s="76"/>
      <c r="C58" s="65"/>
      <c r="D58" s="25"/>
      <c r="E58" s="64">
        <f t="shared" si="12"/>
        <v>0</v>
      </c>
    </row>
    <row r="59" spans="1:35" x14ac:dyDescent="0.3">
      <c r="B59" s="76"/>
      <c r="C59" s="65"/>
      <c r="D59" s="25"/>
      <c r="E59" s="64">
        <f t="shared" si="12"/>
        <v>0</v>
      </c>
    </row>
    <row r="60" spans="1:35" x14ac:dyDescent="0.3">
      <c r="B60" s="12"/>
      <c r="C60" s="65"/>
      <c r="D60" s="25"/>
      <c r="E60" s="64">
        <f t="shared" si="12"/>
        <v>0</v>
      </c>
    </row>
    <row r="61" spans="1:35" x14ac:dyDescent="0.3">
      <c r="B61" s="76"/>
      <c r="D61" s="25"/>
      <c r="E61" s="64">
        <f t="shared" si="12"/>
        <v>0</v>
      </c>
    </row>
    <row r="62" spans="1:35" x14ac:dyDescent="0.3">
      <c r="B62" s="12"/>
      <c r="C62" s="65"/>
      <c r="D62" s="25"/>
      <c r="E62" s="64">
        <f t="shared" si="12"/>
        <v>0</v>
      </c>
    </row>
    <row r="63" spans="1:35" x14ac:dyDescent="0.3">
      <c r="B63" s="12"/>
      <c r="C63"/>
      <c r="D63" s="25"/>
      <c r="E63" s="64">
        <f t="shared" si="12"/>
        <v>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>
      <selection activeCell="C14" sqref="C14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customWidth="1" collapsed="1"/>
    <col min="13" max="15" width="12.6640625" customWidth="1"/>
    <col min="16" max="16" width="1.6640625" customWidth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Riassunto!D28</f>
        <v>Casa Associazioni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+Riassunto!L28</f>
        <v>984.7</v>
      </c>
      <c r="D2" s="306"/>
      <c r="E2" s="306"/>
    </row>
    <row r="3" spans="1:36" x14ac:dyDescent="0.3">
      <c r="A3" s="5"/>
      <c r="B3" s="5" t="s">
        <v>17</v>
      </c>
      <c r="C3" s="307">
        <f>Riassunto!I28</f>
        <v>51.8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52.604854270336141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138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1.5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0.2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0.02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0.02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0.21233333333333329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51.552757184929419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50.764000000000003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>
        <v>500</v>
      </c>
      <c r="O22" s="64">
        <f>+N22*M22</f>
        <v>500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76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156" t="s">
        <v>429</v>
      </c>
      <c r="M23" s="125">
        <f>+M8*(1-M9)</f>
        <v>138</v>
      </c>
      <c r="N23" s="17">
        <v>40</v>
      </c>
      <c r="O23" s="64">
        <f t="shared" ref="O23:O32" si="5">+N23*M23</f>
        <v>5520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76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76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>
        <v>0</v>
      </c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/>
      <c r="M34" s="66"/>
      <c r="N34" s="67"/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500</v>
      </c>
      <c r="O35" s="64">
        <f>+N35*M35</f>
        <v>500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6520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12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  <c r="AG43" s="65"/>
    </row>
    <row r="44" spans="1:36" x14ac:dyDescent="0.3">
      <c r="B44" s="76"/>
      <c r="C44" s="65"/>
      <c r="D44" s="25"/>
      <c r="E44" s="64">
        <f t="shared" si="10"/>
        <v>0</v>
      </c>
      <c r="AG44" s="65"/>
    </row>
    <row r="45" spans="1:36" x14ac:dyDescent="0.3">
      <c r="B45" s="76"/>
      <c r="C45" s="65"/>
      <c r="D45" s="25"/>
      <c r="E45" s="64">
        <f t="shared" si="10"/>
        <v>0</v>
      </c>
      <c r="AG45" s="65"/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  <c r="AG46" s="65"/>
    </row>
    <row r="47" spans="1:36" x14ac:dyDescent="0.3">
      <c r="B47" s="13"/>
      <c r="C47" s="65"/>
      <c r="D47" s="67"/>
      <c r="E47" s="64">
        <f>SUM(E38:E46)*D47</f>
        <v>0</v>
      </c>
      <c r="AG47" s="65"/>
    </row>
    <row r="48" spans="1:36" x14ac:dyDescent="0.3">
      <c r="B48" s="13" t="s">
        <v>23</v>
      </c>
      <c r="D48" s="25">
        <v>0</v>
      </c>
      <c r="E48" s="64">
        <f>+D48*C48</f>
        <v>0</v>
      </c>
      <c r="AG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G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G50" s="65"/>
      <c r="AH50" s="8"/>
      <c r="AI50" s="10"/>
    </row>
    <row r="51" spans="1:35" x14ac:dyDescent="0.3">
      <c r="B51" s="303" t="s">
        <v>12</v>
      </c>
      <c r="C51" s="303"/>
      <c r="D51" s="303"/>
      <c r="E51" s="303"/>
      <c r="AG51" s="6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G52" s="65"/>
    </row>
    <row r="53" spans="1:35" x14ac:dyDescent="0.3">
      <c r="A53" s="24"/>
      <c r="B53" s="155" t="s">
        <v>213</v>
      </c>
      <c r="C53" s="65">
        <v>2</v>
      </c>
      <c r="D53" s="25">
        <f>VLOOKUP(B53,Coster!$B$5:$D$43,3,FALSE)</f>
        <v>480</v>
      </c>
      <c r="E53" s="64">
        <f t="shared" ref="E53:E63" si="11">+D53*C53</f>
        <v>960</v>
      </c>
    </row>
    <row r="54" spans="1:35" x14ac:dyDescent="0.3">
      <c r="B54" s="156" t="s">
        <v>203</v>
      </c>
      <c r="C54" s="65">
        <v>2</v>
      </c>
      <c r="D54" s="25">
        <f>VLOOKUP(B54,Coster!$B$5:$D$43,3,FALSE)</f>
        <v>30</v>
      </c>
      <c r="E54" s="64">
        <f t="shared" si="11"/>
        <v>60</v>
      </c>
      <c r="AG54" s="65"/>
    </row>
    <row r="55" spans="1:35" x14ac:dyDescent="0.3">
      <c r="B55" s="156" t="s">
        <v>202</v>
      </c>
      <c r="C55" s="65">
        <v>2</v>
      </c>
      <c r="D55" s="25">
        <f>VLOOKUP(B55,Coster!$B$5:$D$43,3,FALSE)</f>
        <v>30</v>
      </c>
      <c r="E55" s="64">
        <f t="shared" si="11"/>
        <v>60</v>
      </c>
      <c r="AG55" s="66"/>
    </row>
    <row r="56" spans="1:35" x14ac:dyDescent="0.3">
      <c r="B56" s="12"/>
      <c r="C56" s="65"/>
      <c r="D56" s="25"/>
      <c r="E56" s="64">
        <f t="shared" si="11"/>
        <v>0</v>
      </c>
      <c r="AG56" s="66"/>
    </row>
    <row r="57" spans="1:35" x14ac:dyDescent="0.3">
      <c r="B57" s="12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2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12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>
        <v>8</v>
      </c>
      <c r="D63" s="25">
        <v>30</v>
      </c>
      <c r="E63" s="64">
        <f t="shared" si="11"/>
        <v>240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1320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B1:AZ46"/>
  <sheetViews>
    <sheetView tabSelected="1" topLeftCell="B1" zoomScale="80" zoomScaleNormal="80" workbookViewId="0">
      <pane xSplit="6" ySplit="3" topLeftCell="W4" activePane="bottomRight" state="frozen"/>
      <selection activeCell="B3" sqref="B3"/>
      <selection pane="topRight" activeCell="F3" sqref="F3"/>
      <selection pane="bottomLeft" activeCell="B4" sqref="B4"/>
      <selection pane="bottomRight" activeCell="E3" sqref="E3"/>
    </sheetView>
  </sheetViews>
  <sheetFormatPr defaultRowHeight="14.4" outlineLevelCol="1" x14ac:dyDescent="0.3"/>
  <cols>
    <col min="1" max="1" width="9.109375" customWidth="1"/>
    <col min="2" max="2" width="3.6640625" bestFit="1" customWidth="1"/>
    <col min="3" max="3" width="8.33203125" bestFit="1" customWidth="1"/>
    <col min="4" max="4" width="55.88671875" bestFit="1" customWidth="1"/>
    <col min="5" max="5" width="29.33203125" customWidth="1"/>
    <col min="6" max="6" width="8.44140625" customWidth="1"/>
    <col min="7" max="7" width="12.77734375" bestFit="1" customWidth="1"/>
    <col min="8" max="8" width="8.44140625" customWidth="1"/>
    <col min="9" max="9" width="11.44140625" customWidth="1"/>
    <col min="10" max="10" width="8.44140625" customWidth="1"/>
    <col min="11" max="11" width="8.88671875" customWidth="1"/>
    <col min="12" max="12" width="9.5546875" customWidth="1"/>
    <col min="13" max="13" width="8.44140625" customWidth="1"/>
    <col min="14" max="14" width="13.109375" bestFit="1" customWidth="1"/>
    <col min="15" max="15" width="11.44140625" customWidth="1"/>
    <col min="16" max="16" width="8.44140625" bestFit="1" customWidth="1"/>
    <col min="17" max="17" width="12" bestFit="1" customWidth="1"/>
    <col min="18" max="18" width="8.44140625" bestFit="1" customWidth="1"/>
    <col min="19" max="19" width="12" bestFit="1" customWidth="1"/>
    <col min="20" max="20" width="11.44140625" bestFit="1" customWidth="1"/>
    <col min="21" max="21" width="8.44140625" customWidth="1"/>
    <col min="22" max="22" width="12" bestFit="1" customWidth="1"/>
    <col min="23" max="24" width="11.44140625" customWidth="1"/>
    <col min="25" max="25" width="12" bestFit="1" customWidth="1"/>
    <col min="26" max="26" width="11.44140625" customWidth="1"/>
    <col min="27" max="27" width="8.44140625" hidden="1" customWidth="1" outlineLevel="1"/>
    <col min="28" max="28" width="11" hidden="1" customWidth="1" outlineLevel="1"/>
    <col min="29" max="29" width="11.44140625" hidden="1" customWidth="1" outlineLevel="1"/>
    <col min="30" max="30" width="8.44140625" hidden="1" customWidth="1" outlineLevel="1"/>
    <col min="31" max="31" width="11" hidden="1" customWidth="1" outlineLevel="1"/>
    <col min="32" max="32" width="11.44140625" hidden="1" customWidth="1" outlineLevel="1"/>
    <col min="33" max="33" width="9.109375" hidden="1" customWidth="1" outlineLevel="1"/>
    <col min="34" max="34" width="11" hidden="1" customWidth="1" outlineLevel="1"/>
    <col min="35" max="35" width="11.44140625" hidden="1" customWidth="1" outlineLevel="1"/>
    <col min="36" max="36" width="11.88671875" customWidth="1" collapsed="1"/>
    <col min="37" max="37" width="11" customWidth="1"/>
    <col min="38" max="38" width="12.88671875" style="34" bestFit="1" customWidth="1"/>
    <col min="39" max="39" width="10.44140625" style="34" bestFit="1" customWidth="1"/>
    <col min="40" max="40" width="11.44140625" style="34" bestFit="1" customWidth="1"/>
    <col min="41" max="41" width="5.44140625" style="34" bestFit="1" customWidth="1"/>
    <col min="42" max="42" width="6.5546875" bestFit="1" customWidth="1"/>
    <col min="43" max="45" width="4" bestFit="1" customWidth="1"/>
    <col min="46" max="46" width="7.109375" style="34" customWidth="1"/>
    <col min="47" max="47" width="5" style="34" bestFit="1" customWidth="1"/>
    <col min="48" max="48" width="6.33203125" style="34" bestFit="1" customWidth="1"/>
    <col min="49" max="49" width="6" bestFit="1" customWidth="1"/>
    <col min="50" max="52" width="12.88671875" bestFit="1" customWidth="1"/>
  </cols>
  <sheetData>
    <row r="1" spans="2:52" x14ac:dyDescent="0.3">
      <c r="F1" t="s">
        <v>79</v>
      </c>
      <c r="M1" s="98" t="s">
        <v>7</v>
      </c>
    </row>
    <row r="2" spans="2:52" ht="15" thickBot="1" x14ac:dyDescent="0.35">
      <c r="F2" t="s">
        <v>115</v>
      </c>
      <c r="M2" s="98" t="s">
        <v>82</v>
      </c>
      <c r="AP2" s="185">
        <v>1</v>
      </c>
      <c r="AQ2" t="s">
        <v>427</v>
      </c>
    </row>
    <row r="3" spans="2:52" ht="169.8" x14ac:dyDescent="0.3">
      <c r="B3" s="187" t="s">
        <v>113</v>
      </c>
      <c r="C3" s="188" t="s">
        <v>112</v>
      </c>
      <c r="D3" s="189" t="s">
        <v>0</v>
      </c>
      <c r="E3" s="189" t="s">
        <v>1</v>
      </c>
      <c r="F3" s="190" t="s">
        <v>78</v>
      </c>
      <c r="G3" s="190" t="s">
        <v>76</v>
      </c>
      <c r="H3" s="190" t="s">
        <v>2</v>
      </c>
      <c r="I3" s="191" t="s">
        <v>3</v>
      </c>
      <c r="J3" s="191" t="s">
        <v>4</v>
      </c>
      <c r="K3" s="192" t="s">
        <v>5</v>
      </c>
      <c r="L3" s="192" t="s">
        <v>6</v>
      </c>
      <c r="M3" s="193" t="s">
        <v>81</v>
      </c>
      <c r="N3" s="194" t="s">
        <v>8</v>
      </c>
      <c r="O3" s="195" t="s">
        <v>54</v>
      </c>
      <c r="P3" s="196" t="s">
        <v>11</v>
      </c>
      <c r="Q3" s="197" t="s">
        <v>8</v>
      </c>
      <c r="R3" s="198" t="s">
        <v>61</v>
      </c>
      <c r="S3" s="199" t="s">
        <v>8</v>
      </c>
      <c r="T3" s="200" t="s">
        <v>55</v>
      </c>
      <c r="U3" s="201" t="s">
        <v>10</v>
      </c>
      <c r="V3" s="202" t="s">
        <v>8</v>
      </c>
      <c r="W3" s="203" t="s">
        <v>56</v>
      </c>
      <c r="X3" s="204" t="s">
        <v>44</v>
      </c>
      <c r="Y3" s="205" t="s">
        <v>8</v>
      </c>
      <c r="Z3" s="204" t="s">
        <v>57</v>
      </c>
      <c r="AA3" s="206" t="s">
        <v>13</v>
      </c>
      <c r="AB3" s="207" t="s">
        <v>8</v>
      </c>
      <c r="AC3" s="208" t="s">
        <v>58</v>
      </c>
      <c r="AD3" s="209" t="s">
        <v>14</v>
      </c>
      <c r="AE3" s="210" t="s">
        <v>8</v>
      </c>
      <c r="AF3" s="211" t="s">
        <v>59</v>
      </c>
      <c r="AG3" s="212" t="s">
        <v>9</v>
      </c>
      <c r="AH3" s="213" t="s">
        <v>8</v>
      </c>
      <c r="AI3" s="214" t="s">
        <v>60</v>
      </c>
      <c r="AJ3" s="215" t="s">
        <v>15</v>
      </c>
      <c r="AK3" s="216" t="s">
        <v>8</v>
      </c>
      <c r="AL3" s="217" t="s">
        <v>75</v>
      </c>
      <c r="AM3" s="35" t="s">
        <v>62</v>
      </c>
      <c r="AN3" s="36" t="s">
        <v>85</v>
      </c>
      <c r="AO3" s="37" t="s">
        <v>63</v>
      </c>
      <c r="AP3" s="38" t="s">
        <v>64</v>
      </c>
      <c r="AQ3" s="39" t="s">
        <v>65</v>
      </c>
      <c r="AR3" s="40" t="s">
        <v>66</v>
      </c>
      <c r="AS3" s="41" t="s">
        <v>67</v>
      </c>
      <c r="AT3" s="296" t="s">
        <v>68</v>
      </c>
      <c r="AU3" s="297"/>
      <c r="AV3" s="298"/>
      <c r="AX3" s="246" t="s">
        <v>490</v>
      </c>
      <c r="AY3" t="s">
        <v>491</v>
      </c>
      <c r="AZ3" t="s">
        <v>492</v>
      </c>
    </row>
    <row r="4" spans="2:52" s="15" customFormat="1" ht="15.6" x14ac:dyDescent="0.3">
      <c r="B4" s="218">
        <v>1</v>
      </c>
      <c r="C4" s="3">
        <v>1</v>
      </c>
      <c r="D4" s="132" t="s">
        <v>143</v>
      </c>
      <c r="E4" s="27" t="s">
        <v>397</v>
      </c>
      <c r="F4" s="4" t="s">
        <v>79</v>
      </c>
      <c r="G4" s="2">
        <f>+Consumi!AE3</f>
        <v>28622.664000000001</v>
      </c>
      <c r="H4" s="32" t="s">
        <v>7</v>
      </c>
      <c r="I4" s="4">
        <f>235*2</f>
        <v>470</v>
      </c>
      <c r="J4" s="32" t="s">
        <v>82</v>
      </c>
      <c r="K4" s="1">
        <v>1980</v>
      </c>
      <c r="L4" s="2">
        <v>8205</v>
      </c>
      <c r="M4" s="28" t="s">
        <v>7</v>
      </c>
      <c r="N4" s="31">
        <f>+IF(M4="SI",'1'!$E$36,0)</f>
        <v>37550</v>
      </c>
      <c r="O4" s="30" t="s">
        <v>82</v>
      </c>
      <c r="P4" s="28" t="s">
        <v>7</v>
      </c>
      <c r="Q4" s="31">
        <f>+IF(P4="SI",'1'!$E$49,0)</f>
        <v>6000</v>
      </c>
      <c r="R4" s="28" t="s">
        <v>7</v>
      </c>
      <c r="S4" s="31">
        <f>+IF(R4="SI",'1'!$E$66,0)</f>
        <v>2710</v>
      </c>
      <c r="T4" s="33">
        <f>+'1'!$C$14</f>
        <v>0.17436236800000005</v>
      </c>
      <c r="U4" s="28" t="s">
        <v>82</v>
      </c>
      <c r="V4" s="31">
        <f>+IF(U4="SI",'1'!$J$36,0)</f>
        <v>0</v>
      </c>
      <c r="W4" s="29">
        <f>+IF(U4="SI",'1'!$H$14,0)</f>
        <v>0</v>
      </c>
      <c r="X4" s="28" t="s">
        <v>82</v>
      </c>
      <c r="Y4" s="31">
        <f>+IF(X4="SI",'1'!$O$36,0)</f>
        <v>0</v>
      </c>
      <c r="Z4" s="29">
        <f>+IF(X4="SI",'1'!$M$14,0)</f>
        <v>0</v>
      </c>
      <c r="AA4" s="28" t="s">
        <v>82</v>
      </c>
      <c r="AB4" s="31">
        <f>+IF(AA4="SI",'1'!$T$36,0)</f>
        <v>0</v>
      </c>
      <c r="AC4" s="29">
        <f>+IF(AA4="SI",'1'!$R$14,0)</f>
        <v>0</v>
      </c>
      <c r="AD4" s="28" t="s">
        <v>82</v>
      </c>
      <c r="AE4" s="31">
        <f>+IF(AD4="SI",'1'!$Y$36,0)</f>
        <v>0</v>
      </c>
      <c r="AF4" s="29">
        <f>+IF(AD4="SI",'1'!$W$14,0)</f>
        <v>0</v>
      </c>
      <c r="AG4" s="28" t="s">
        <v>82</v>
      </c>
      <c r="AH4" s="31">
        <f>+IF(AG4="SI",'1'!$AD$36,0)</f>
        <v>0</v>
      </c>
      <c r="AI4" s="29">
        <f>+IF(AG4="SI",'1'!$AB$14,0)</f>
        <v>0</v>
      </c>
      <c r="AJ4" s="28" t="s">
        <v>7</v>
      </c>
      <c r="AK4" s="31">
        <f>+IF(AJ4="SI",'1'!$AI$36,0)</f>
        <v>260</v>
      </c>
      <c r="AL4" s="49">
        <f>+N4+Q4+S4+V4+Y4+AB4+AE4+AH4+AK4</f>
        <v>46520</v>
      </c>
      <c r="AM4" s="52">
        <f>IF(O4&lt;&gt;"SI",G4*(1-((1-T4)*(1-W4)*(1-Z4)*(1-AC4)*(1-AF4))),0)</f>
        <v>4990.7154735083532</v>
      </c>
      <c r="AN4" s="53">
        <f>IF(O4&lt;&gt;"SI",AM4*$AU$4,"")</f>
        <v>2994.4292841050119</v>
      </c>
      <c r="AO4" s="42">
        <f>+IF(AM4&lt;&gt;0,AL4/AN4,"")</f>
        <v>15.53551464612533</v>
      </c>
      <c r="AP4" s="43">
        <f>+IF('Conto Termico'!AC8&lt;&gt;0,(Riassunto!AL4-'Conto Termico'!AC8)/Riassunto!AN4,"")</f>
        <v>9.3560399468152884</v>
      </c>
      <c r="AQ4" s="52" t="str">
        <f>IF(O4&lt;&gt;"SI","",G4*(#REF!/1000)*$AW$6*(1-((1-T4)*(1-W4)*(1-Z4)*(1-AC4)*(1-AF4)))/$AW$4)</f>
        <v/>
      </c>
      <c r="AR4" s="53" t="str">
        <f>IF(O4&lt;&gt;"SI","",AQ4*$AU$4)</f>
        <v/>
      </c>
      <c r="AS4" s="42" t="str">
        <f>+IF(AQ4&lt;&gt;"",AL4/AR4,"")</f>
        <v/>
      </c>
      <c r="AT4" s="91" t="s">
        <v>69</v>
      </c>
      <c r="AU4" s="92">
        <v>0.6</v>
      </c>
      <c r="AV4" s="93" t="s">
        <v>70</v>
      </c>
      <c r="AW4" s="15">
        <v>9.4499999999999993</v>
      </c>
      <c r="AX4" s="131">
        <f t="shared" ref="AX4:AX33" si="0">AL4*(1+$AL$39)</f>
        <v>55824</v>
      </c>
      <c r="AY4" s="131">
        <v>55920.18</v>
      </c>
      <c r="AZ4" s="131">
        <f>AY4-AX4</f>
        <v>96.180000000000291</v>
      </c>
    </row>
    <row r="5" spans="2:52" s="15" customFormat="1" ht="15.6" x14ac:dyDescent="0.3">
      <c r="B5" s="218">
        <v>2</v>
      </c>
      <c r="C5" s="3">
        <v>2</v>
      </c>
      <c r="D5" s="132" t="s">
        <v>144</v>
      </c>
      <c r="E5" s="27" t="s">
        <v>410</v>
      </c>
      <c r="F5" s="4" t="s">
        <v>79</v>
      </c>
      <c r="G5" s="2">
        <f>+Consumi!AE4</f>
        <v>6602.652</v>
      </c>
      <c r="H5" s="32" t="s">
        <v>7</v>
      </c>
      <c r="I5" s="4">
        <v>170.3</v>
      </c>
      <c r="J5" s="32" t="s">
        <v>82</v>
      </c>
      <c r="K5" s="1">
        <v>983.9</v>
      </c>
      <c r="L5" s="2">
        <v>4583.1000000000004</v>
      </c>
      <c r="M5" s="28" t="s">
        <v>82</v>
      </c>
      <c r="N5" s="31">
        <f>+IF(M5="SI",'2'!$E$36,0)</f>
        <v>0</v>
      </c>
      <c r="O5" s="30" t="s">
        <v>82</v>
      </c>
      <c r="P5" s="28" t="s">
        <v>82</v>
      </c>
      <c r="Q5" s="31">
        <f>+IF(P5="SI",'2'!$E$49,0)</f>
        <v>0</v>
      </c>
      <c r="R5" s="28" t="s">
        <v>82</v>
      </c>
      <c r="S5" s="31">
        <f>+IF(R5="SI",'2'!$E$66,0)</f>
        <v>0</v>
      </c>
      <c r="T5" s="33">
        <f>+IF(M5="SI",'2'!$C$14,0)</f>
        <v>0</v>
      </c>
      <c r="U5" s="28" t="s">
        <v>82</v>
      </c>
      <c r="V5" s="31">
        <f>+IF(U5="SI",'2'!$J$36,0)</f>
        <v>0</v>
      </c>
      <c r="W5" s="29">
        <f>+IF(U5="SI",'2'!$H$14,0)</f>
        <v>0</v>
      </c>
      <c r="X5" s="28" t="s">
        <v>82</v>
      </c>
      <c r="Y5" s="31">
        <f>+IF(X5="SI",'2'!$O$36,0)</f>
        <v>0</v>
      </c>
      <c r="Z5" s="29">
        <f>+IF(X5="SI",'2'!$M$14,0)</f>
        <v>0</v>
      </c>
      <c r="AA5" s="28" t="s">
        <v>82</v>
      </c>
      <c r="AB5" s="31">
        <f>+IF(AA5="SI",'2'!$T$36,0)</f>
        <v>0</v>
      </c>
      <c r="AC5" s="29">
        <f>+IF(AA5="SI",'2'!$R$14,0)</f>
        <v>0</v>
      </c>
      <c r="AD5" s="28" t="s">
        <v>82</v>
      </c>
      <c r="AE5" s="31">
        <f>+IF(AD5="SI",'2'!$Y$36,0)</f>
        <v>0</v>
      </c>
      <c r="AF5" s="29">
        <f>+IF(AD5="SI",'2'!$W$14,0)</f>
        <v>0</v>
      </c>
      <c r="AG5" s="28" t="s">
        <v>82</v>
      </c>
      <c r="AH5" s="31">
        <f>+IF(AG5="SI",'2'!$AD$36,0)</f>
        <v>0</v>
      </c>
      <c r="AI5" s="29">
        <f>+IF(AG5="SI",'2'!$AB$14,0)</f>
        <v>0</v>
      </c>
      <c r="AJ5" s="28" t="s">
        <v>7</v>
      </c>
      <c r="AK5" s="31">
        <f>+IF(AJ5="SI",'2'!$AI$36,0)</f>
        <v>230</v>
      </c>
      <c r="AL5" s="49">
        <f t="shared" ref="AL5:AL18" si="1">+N5+Q5+S5+V5+Y5+AB5+AE5+AH5+AK5</f>
        <v>230</v>
      </c>
      <c r="AM5" s="52">
        <f t="shared" ref="AM5:AM18" si="2">IF(O5&lt;&gt;"SI",G5*(1-((1-T5)*(1-W5)*(1-Z5)*(1-AC5)*(1-AF5))),0)</f>
        <v>0</v>
      </c>
      <c r="AN5" s="53">
        <f t="shared" ref="AN5:AN18" si="3">IF(O5&lt;&gt;"SI",AM5*$AU$4,"")</f>
        <v>0</v>
      </c>
      <c r="AO5" s="42" t="str">
        <f t="shared" ref="AO5:AO18" si="4">+IF(AM5&lt;&gt;0,AL5/AN5,"")</f>
        <v/>
      </c>
      <c r="AP5" s="43" t="str">
        <f>+IF('Conto Termico'!AC9&lt;&gt;0,(Riassunto!AL5-'Conto Termico'!AC9)/Riassunto!AN5,"")</f>
        <v/>
      </c>
      <c r="AQ5" s="52" t="str">
        <f>IF(O5&lt;&gt;"SI","",G5*(#REF!/1000)*$AW$6*(1-((1-T5)*(1-W5)*(1-Z5)*(1-AC5)*(1-AF5)))/$AW$4)</f>
        <v/>
      </c>
      <c r="AR5" s="53" t="str">
        <f t="shared" ref="AR5:AR18" si="5">IF(O5&lt;&gt;"SI","",AQ5*$AU$4)</f>
        <v/>
      </c>
      <c r="AS5" s="42" t="str">
        <f t="shared" ref="AS5:AS18" si="6">+IF(AQ5&lt;&gt;"",AL5/AR5,"")</f>
        <v/>
      </c>
      <c r="AT5" s="91" t="s">
        <v>71</v>
      </c>
      <c r="AU5" s="92">
        <v>0.16</v>
      </c>
      <c r="AV5" s="93" t="s">
        <v>72</v>
      </c>
      <c r="AX5" s="131">
        <f t="shared" si="0"/>
        <v>276</v>
      </c>
      <c r="AY5" s="131">
        <v>436.3</v>
      </c>
      <c r="AZ5" s="131">
        <f>AY5-AX5</f>
        <v>160.30000000000001</v>
      </c>
    </row>
    <row r="6" spans="2:52" s="15" customFormat="1" ht="16.2" thickBot="1" x14ac:dyDescent="0.35">
      <c r="B6" s="218">
        <v>3</v>
      </c>
      <c r="C6" s="3">
        <v>3</v>
      </c>
      <c r="D6" s="132" t="s">
        <v>145</v>
      </c>
      <c r="E6" s="129" t="s">
        <v>409</v>
      </c>
      <c r="F6" s="4" t="s">
        <v>79</v>
      </c>
      <c r="G6" s="2">
        <f>+Consumi!AE5</f>
        <v>8580.0960000000014</v>
      </c>
      <c r="H6" s="32" t="s">
        <v>7</v>
      </c>
      <c r="I6" s="4">
        <v>28</v>
      </c>
      <c r="J6" s="32" t="s">
        <v>82</v>
      </c>
      <c r="K6" s="1">
        <f>250.54+288.26</f>
        <v>538.79999999999995</v>
      </c>
      <c r="L6" s="2">
        <f>550.05+2282</f>
        <v>2832.05</v>
      </c>
      <c r="M6" s="28" t="s">
        <v>82</v>
      </c>
      <c r="N6" s="31">
        <f>+IF(M6="SI",'3'!$E$36,0)</f>
        <v>0</v>
      </c>
      <c r="O6" s="30" t="s">
        <v>82</v>
      </c>
      <c r="P6" s="28" t="s">
        <v>82</v>
      </c>
      <c r="Q6" s="31">
        <f>+IF(P6="SI",'3'!$E$49,0)</f>
        <v>0</v>
      </c>
      <c r="R6" s="28" t="s">
        <v>7</v>
      </c>
      <c r="S6" s="31">
        <f>+IF(R6="SI",'3'!$E$66,0)</f>
        <v>780</v>
      </c>
      <c r="T6" s="33">
        <f>+'3'!$C$14</f>
        <v>0.02</v>
      </c>
      <c r="U6" s="28" t="s">
        <v>82</v>
      </c>
      <c r="V6" s="31">
        <f>+IF(U6="SI",'3'!$J$36,0)</f>
        <v>0</v>
      </c>
      <c r="W6" s="29">
        <f>+IF(U6="SI",'3'!$H$14,0)</f>
        <v>0</v>
      </c>
      <c r="X6" s="28" t="s">
        <v>82</v>
      </c>
      <c r="Y6" s="31">
        <f>+IF(X6="SI",'3'!$O$36,0)</f>
        <v>0</v>
      </c>
      <c r="Z6" s="29">
        <f>+IF(X6="SI",'3'!$M$14,0)</f>
        <v>0</v>
      </c>
      <c r="AA6" s="28" t="s">
        <v>82</v>
      </c>
      <c r="AB6" s="31">
        <f>+IF(AA6="SI",'3'!$T$36,0)</f>
        <v>0</v>
      </c>
      <c r="AC6" s="29">
        <f>+IF(AA6="SI",'3'!$R$14,0)</f>
        <v>0</v>
      </c>
      <c r="AD6" s="28" t="s">
        <v>82</v>
      </c>
      <c r="AE6" s="31">
        <f>+IF(AD6="SI",'3'!$Y$36,0)</f>
        <v>0</v>
      </c>
      <c r="AF6" s="29">
        <f>+IF(AD6="SI",'3'!$W$14,0)</f>
        <v>0</v>
      </c>
      <c r="AG6" s="28" t="s">
        <v>82</v>
      </c>
      <c r="AH6" s="31">
        <f>+IF(AG6="SI",'3'!$AD$36,0)</f>
        <v>0</v>
      </c>
      <c r="AI6" s="29">
        <f>+IF(AG6="SI",'3'!$AB$14,0)</f>
        <v>0</v>
      </c>
      <c r="AJ6" s="28" t="s">
        <v>82</v>
      </c>
      <c r="AK6" s="31">
        <f>+IF(AJ6="SI",'3'!$AI$36,0)</f>
        <v>0</v>
      </c>
      <c r="AL6" s="49">
        <f t="shared" si="1"/>
        <v>780</v>
      </c>
      <c r="AM6" s="52">
        <f t="shared" si="2"/>
        <v>171.60192000000018</v>
      </c>
      <c r="AN6" s="53">
        <f t="shared" si="3"/>
        <v>102.9611520000001</v>
      </c>
      <c r="AO6" s="42">
        <f t="shared" si="4"/>
        <v>7.5756728129848359</v>
      </c>
      <c r="AP6" s="43" t="str">
        <f>+IF('Conto Termico'!AC10&lt;&gt;0,(Riassunto!AL6-'Conto Termico'!AC10)/Riassunto!AN6,"")</f>
        <v/>
      </c>
      <c r="AQ6" s="52" t="str">
        <f>IF(O6&lt;&gt;"SI","",G6*(#REF!/1000)*$AW$6*(1-((1-T6)*(1-W6)*(1-Z6)*(1-AC6)*(1-AF6)))/$AW$4)</f>
        <v/>
      </c>
      <c r="AR6" s="53" t="str">
        <f t="shared" si="5"/>
        <v/>
      </c>
      <c r="AS6" s="42" t="str">
        <f t="shared" si="6"/>
        <v/>
      </c>
      <c r="AT6" s="94" t="s">
        <v>73</v>
      </c>
      <c r="AU6" s="95">
        <v>0.96</v>
      </c>
      <c r="AV6" s="96" t="s">
        <v>74</v>
      </c>
      <c r="AW6" s="15">
        <v>11.86</v>
      </c>
      <c r="AX6" s="131">
        <f t="shared" si="0"/>
        <v>936</v>
      </c>
      <c r="AY6" s="295">
        <v>1848.28</v>
      </c>
      <c r="AZ6" s="295">
        <f>AY6-AX6-AX7</f>
        <v>-23.720000000000027</v>
      </c>
    </row>
    <row r="7" spans="2:52" s="15" customFormat="1" ht="15" customHeight="1" x14ac:dyDescent="0.3">
      <c r="B7" s="218">
        <v>4</v>
      </c>
      <c r="C7" s="3">
        <v>3</v>
      </c>
      <c r="D7" s="132" t="s">
        <v>168</v>
      </c>
      <c r="E7" s="129" t="s">
        <v>409</v>
      </c>
      <c r="F7" s="4" t="s">
        <v>79</v>
      </c>
      <c r="G7" s="2">
        <f>+Consumi!AE6</f>
        <v>7693.2519999999995</v>
      </c>
      <c r="H7" s="32" t="s">
        <v>7</v>
      </c>
      <c r="I7" s="4">
        <v>30</v>
      </c>
      <c r="J7" s="32" t="s">
        <v>82</v>
      </c>
      <c r="K7" s="1">
        <f>143.94+235.53</f>
        <v>379.47</v>
      </c>
      <c r="L7" s="2">
        <f>1061.83+3349.6+3029.02</f>
        <v>7440.4500000000007</v>
      </c>
      <c r="M7" s="28" t="s">
        <v>82</v>
      </c>
      <c r="N7" s="31">
        <f>+IF(M7="SI",'4'!$E$36,0)</f>
        <v>0</v>
      </c>
      <c r="O7" s="30" t="s">
        <v>82</v>
      </c>
      <c r="P7" s="28" t="s">
        <v>82</v>
      </c>
      <c r="Q7" s="31">
        <f>+IF(P7="SI",'4'!$E$49,0)</f>
        <v>0</v>
      </c>
      <c r="R7" s="28" t="s">
        <v>7</v>
      </c>
      <c r="S7" s="31">
        <f>+IF(R7="SI",'4'!$E$66,0)</f>
        <v>780</v>
      </c>
      <c r="T7" s="33">
        <f>+'4'!$C$14</f>
        <v>0.02</v>
      </c>
      <c r="U7" s="28" t="s">
        <v>82</v>
      </c>
      <c r="V7" s="31">
        <f>+IF(U7="SI",'4'!$J$36,0)</f>
        <v>0</v>
      </c>
      <c r="W7" s="29">
        <f>+IF(U7="SI",'4'!$H$14,0)</f>
        <v>0</v>
      </c>
      <c r="X7" s="28" t="s">
        <v>82</v>
      </c>
      <c r="Y7" s="31">
        <f>+IF(X7="SI",'4'!$O$36,0)</f>
        <v>0</v>
      </c>
      <c r="Z7" s="29">
        <f>+IF(X7="SI",'4'!$M$14,0)</f>
        <v>0</v>
      </c>
      <c r="AA7" s="28" t="s">
        <v>82</v>
      </c>
      <c r="AB7" s="31">
        <f>+IF(AA7="SI",'4'!$T$36,0)</f>
        <v>0</v>
      </c>
      <c r="AC7" s="29">
        <f>+IF(AA7="SI",'4'!$R$14,0)</f>
        <v>0</v>
      </c>
      <c r="AD7" s="28" t="s">
        <v>82</v>
      </c>
      <c r="AE7" s="31">
        <f>+IF(AD7="SI",'4'!$Y$36,0)</f>
        <v>0</v>
      </c>
      <c r="AF7" s="29">
        <f>+IF(AD7="SI",'4'!$W$14,0)</f>
        <v>0</v>
      </c>
      <c r="AG7" s="28" t="s">
        <v>82</v>
      </c>
      <c r="AH7" s="31">
        <f>+IF(AG7="SI",'4'!$AD$36,0)</f>
        <v>0</v>
      </c>
      <c r="AI7" s="29">
        <f>+IF(AG7="SI",'4'!$AB$14,0)</f>
        <v>0</v>
      </c>
      <c r="AJ7" s="28" t="s">
        <v>82</v>
      </c>
      <c r="AK7" s="31">
        <f>+IF(AJ7="SI",'4'!$AI$36,0)</f>
        <v>0</v>
      </c>
      <c r="AL7" s="49">
        <f t="shared" si="1"/>
        <v>780</v>
      </c>
      <c r="AM7" s="52">
        <f t="shared" si="2"/>
        <v>153.86504000000014</v>
      </c>
      <c r="AN7" s="53">
        <f t="shared" si="3"/>
        <v>92.319024000000084</v>
      </c>
      <c r="AO7" s="42">
        <f t="shared" si="4"/>
        <v>8.4489628053260102</v>
      </c>
      <c r="AP7" s="43" t="str">
        <f>+IF('Conto Termico'!AC11&lt;&gt;0,(Riassunto!AL7-'Conto Termico'!AC11)/Riassunto!AN7,"")</f>
        <v/>
      </c>
      <c r="AQ7" s="52" t="str">
        <f>IF(O7&lt;&gt;"SI","",G7*(#REF!/1000)*$AW$6*(1-((1-T7)*(1-W7)*(1-Z7)*(1-AC7)*(1-AF7)))/$AW$4)</f>
        <v/>
      </c>
      <c r="AR7" s="53" t="str">
        <f t="shared" si="5"/>
        <v/>
      </c>
      <c r="AS7" s="42" t="str">
        <f t="shared" si="6"/>
        <v/>
      </c>
      <c r="AX7" s="131">
        <f t="shared" si="0"/>
        <v>936</v>
      </c>
      <c r="AY7" s="295"/>
      <c r="AZ7" s="295"/>
    </row>
    <row r="8" spans="2:52" s="15" customFormat="1" ht="15" customHeight="1" x14ac:dyDescent="0.3">
      <c r="B8" s="218">
        <v>5</v>
      </c>
      <c r="C8" s="3">
        <v>6</v>
      </c>
      <c r="D8" s="132" t="s">
        <v>169</v>
      </c>
      <c r="E8" s="27" t="s">
        <v>170</v>
      </c>
      <c r="F8" s="4" t="s">
        <v>79</v>
      </c>
      <c r="G8" s="2">
        <f>+Consumi!AE7</f>
        <v>16946.328000000001</v>
      </c>
      <c r="H8" s="32" t="s">
        <v>7</v>
      </c>
      <c r="I8" s="4">
        <v>90</v>
      </c>
      <c r="J8" s="32" t="s">
        <v>82</v>
      </c>
      <c r="K8" s="1">
        <v>892.6</v>
      </c>
      <c r="L8" s="2">
        <v>3411.3</v>
      </c>
      <c r="M8" s="28" t="s">
        <v>7</v>
      </c>
      <c r="N8" s="31">
        <f>+IF(M8="SI",'5'!$E$37,0)</f>
        <v>23610</v>
      </c>
      <c r="O8" s="30" t="s">
        <v>82</v>
      </c>
      <c r="P8" s="28" t="s">
        <v>7</v>
      </c>
      <c r="Q8" s="31">
        <f>+IF(P8="SI",'5'!$E$50,0)</f>
        <v>2600</v>
      </c>
      <c r="R8" s="28" t="s">
        <v>7</v>
      </c>
      <c r="S8" s="31">
        <f>+IF(R8="SI",'5'!$E$67,0)</f>
        <v>3100</v>
      </c>
      <c r="T8" s="33">
        <f>+'5'!$C$14</f>
        <v>0.16427592000000002</v>
      </c>
      <c r="U8" s="28" t="s">
        <v>7</v>
      </c>
      <c r="V8" s="31">
        <f>+IF(U8="SI",'5'!$J$37,0)</f>
        <v>7222.2982750000001</v>
      </c>
      <c r="W8" s="29">
        <f>+IF(U8="SI",'5'!$H$14,0)</f>
        <v>0.2</v>
      </c>
      <c r="X8" s="28" t="s">
        <v>82</v>
      </c>
      <c r="Y8" s="31">
        <f>+IF(X8="SI",'5'!$O$37,0)</f>
        <v>0</v>
      </c>
      <c r="Z8" s="29">
        <f>+IF(X8="SI",'5'!$M$14,0)</f>
        <v>0</v>
      </c>
      <c r="AA8" s="28" t="s">
        <v>82</v>
      </c>
      <c r="AB8" s="31">
        <f>+IF(AA8="SI",'5'!$T$37,0)</f>
        <v>0</v>
      </c>
      <c r="AC8" s="29">
        <f>+IF(AA8="SI",'5'!$R$14,0)</f>
        <v>0</v>
      </c>
      <c r="AD8" s="28" t="s">
        <v>82</v>
      </c>
      <c r="AE8" s="31">
        <f>+IF(AD8="SI",'5'!$Y$37,0)</f>
        <v>0</v>
      </c>
      <c r="AF8" s="29">
        <f>+IF(AD8="SI",'5'!$W$14,0)</f>
        <v>0</v>
      </c>
      <c r="AG8" s="28" t="s">
        <v>82</v>
      </c>
      <c r="AH8" s="31">
        <f>+IF(AG8="SI",'5'!$AD$37,0)</f>
        <v>0</v>
      </c>
      <c r="AI8" s="29">
        <f>+IF(AG8="SI",'5'!$AB$14,0)</f>
        <v>0</v>
      </c>
      <c r="AJ8" s="28" t="s">
        <v>7</v>
      </c>
      <c r="AK8" s="31">
        <f>+IF(AJ8="SI",'5'!$AI$37,0)</f>
        <v>700</v>
      </c>
      <c r="AL8" s="49">
        <f t="shared" si="1"/>
        <v>37232.298275000001</v>
      </c>
      <c r="AM8" s="52">
        <f t="shared" si="2"/>
        <v>5616.3644982574087</v>
      </c>
      <c r="AN8" s="53">
        <f t="shared" si="3"/>
        <v>3369.8186989544452</v>
      </c>
      <c r="AO8" s="42">
        <f t="shared" si="4"/>
        <v>11.048754132248147</v>
      </c>
      <c r="AP8" s="43">
        <f>+IF('Conto Termico'!AC12&lt;&gt;0,(Riassunto!AL8-'Conto Termico'!AC12)/Riassunto!AN8,"")</f>
        <v>8.4922961237882504</v>
      </c>
      <c r="AQ8" s="52" t="str">
        <f>IF(O8&lt;&gt;"SI","",G8*(#REF!/1000)*$AW$6*(1-((1-T8)*(1-W8)*(1-Z8)*(1-AC8)*(1-AF8)))/$AW$4)</f>
        <v/>
      </c>
      <c r="AR8" s="53" t="str">
        <f t="shared" si="5"/>
        <v/>
      </c>
      <c r="AS8" s="42" t="str">
        <f t="shared" si="6"/>
        <v/>
      </c>
      <c r="AX8" s="131">
        <f t="shared" si="0"/>
        <v>44678.75793</v>
      </c>
      <c r="AY8" s="131">
        <v>50952.17</v>
      </c>
      <c r="AZ8" s="131">
        <f t="shared" ref="AZ8:AZ33" si="7">AY8-AX8</f>
        <v>6273.4120699999985</v>
      </c>
    </row>
    <row r="9" spans="2:52" s="15" customFormat="1" ht="15.6" x14ac:dyDescent="0.3">
      <c r="B9" s="218">
        <v>6</v>
      </c>
      <c r="C9" s="3">
        <v>14</v>
      </c>
      <c r="D9" s="132" t="s">
        <v>146</v>
      </c>
      <c r="E9" s="27" t="s">
        <v>244</v>
      </c>
      <c r="F9" s="4" t="s">
        <v>79</v>
      </c>
      <c r="G9" s="2">
        <f>+Consumi!AE8</f>
        <v>11879.028</v>
      </c>
      <c r="H9" s="32" t="s">
        <v>7</v>
      </c>
      <c r="I9" s="4">
        <v>69</v>
      </c>
      <c r="J9" s="32" t="s">
        <v>82</v>
      </c>
      <c r="K9" s="1">
        <v>490</v>
      </c>
      <c r="L9" s="2">
        <v>2211.8000000000002</v>
      </c>
      <c r="M9" s="28" t="s">
        <v>82</v>
      </c>
      <c r="N9" s="31">
        <f>+IF(M9="SI",'6'!$E$36,0)</f>
        <v>0</v>
      </c>
      <c r="O9" s="30" t="s">
        <v>82</v>
      </c>
      <c r="P9" s="28" t="s">
        <v>82</v>
      </c>
      <c r="Q9" s="31">
        <f>+IF(P9="SI",'6'!$E$49,0)</f>
        <v>0</v>
      </c>
      <c r="R9" s="28" t="s">
        <v>7</v>
      </c>
      <c r="S9" s="31">
        <f>+IF(R9="SI",'6'!$E$66,0)</f>
        <v>4030</v>
      </c>
      <c r="T9" s="33">
        <f>+'6'!$C$14</f>
        <v>8.8564167999999999E-2</v>
      </c>
      <c r="U9" s="28" t="s">
        <v>82</v>
      </c>
      <c r="V9" s="31">
        <f>+IF(U9="SI",'6'!$J$36,0)</f>
        <v>0</v>
      </c>
      <c r="W9" s="29">
        <f>+IF(U9="SI",'6'!$H$14,0)</f>
        <v>0</v>
      </c>
      <c r="X9" s="28" t="s">
        <v>82</v>
      </c>
      <c r="Y9" s="31">
        <f>+IF(X9="SI",'6'!$O$36,0)</f>
        <v>0</v>
      </c>
      <c r="Z9" s="29">
        <f>+IF(X9="SI",'6'!$M$14,0)</f>
        <v>0</v>
      </c>
      <c r="AA9" s="28" t="s">
        <v>82</v>
      </c>
      <c r="AB9" s="31">
        <f>+IF(AA9="SI",'6'!$T$36,0)</f>
        <v>0</v>
      </c>
      <c r="AC9" s="29">
        <f>+IF(AA9="SI",'6'!$R$14,0)</f>
        <v>0</v>
      </c>
      <c r="AD9" s="28" t="s">
        <v>82</v>
      </c>
      <c r="AE9" s="31">
        <f>+IF(AD9="SI",'6'!$Y$36,0)</f>
        <v>0</v>
      </c>
      <c r="AF9" s="29">
        <f>+IF(AD9="SI",'6'!$W$14,0)</f>
        <v>0</v>
      </c>
      <c r="AG9" s="28" t="s">
        <v>82</v>
      </c>
      <c r="AH9" s="31">
        <f>+IF(AG9="SI",'6'!$AD$36,0)</f>
        <v>0</v>
      </c>
      <c r="AI9" s="29">
        <f>+IF(AG9="SI",'6'!$AB$14,0)</f>
        <v>0</v>
      </c>
      <c r="AJ9" s="28" t="s">
        <v>7</v>
      </c>
      <c r="AK9" s="31">
        <f>+IF(AJ9="SI",'6'!$AI$36,0)</f>
        <v>260</v>
      </c>
      <c r="AL9" s="49">
        <f t="shared" si="1"/>
        <v>4290</v>
      </c>
      <c r="AM9" s="52">
        <f t="shared" si="2"/>
        <v>1052.056231468704</v>
      </c>
      <c r="AN9" s="53">
        <f t="shared" si="3"/>
        <v>631.23373888122239</v>
      </c>
      <c r="AO9" s="42">
        <f t="shared" si="4"/>
        <v>6.7962146757292361</v>
      </c>
      <c r="AP9" s="43" t="str">
        <f>+IF('Conto Termico'!AC13&lt;&gt;0,(Riassunto!AL9-'Conto Termico'!AC13)/Riassunto!AN9,"")</f>
        <v/>
      </c>
      <c r="AQ9" s="52" t="str">
        <f>IF(O9&lt;&gt;"SI","",G9*(#REF!/1000)*$AW$6*(1-((1-T9)*(1-W9)*(1-Z9)*(1-AC9)*(1-AF9)))/$AW$4)</f>
        <v/>
      </c>
      <c r="AR9" s="53" t="str">
        <f t="shared" si="5"/>
        <v/>
      </c>
      <c r="AS9" s="42" t="str">
        <f t="shared" si="6"/>
        <v/>
      </c>
      <c r="AX9" s="131">
        <f t="shared" si="0"/>
        <v>5148</v>
      </c>
      <c r="AY9" s="131">
        <v>4196.71</v>
      </c>
      <c r="AZ9" s="131">
        <f t="shared" si="7"/>
        <v>-951.29</v>
      </c>
    </row>
    <row r="10" spans="2:52" s="15" customFormat="1" ht="15.6" x14ac:dyDescent="0.3">
      <c r="B10" s="218">
        <v>7</v>
      </c>
      <c r="C10" s="237">
        <v>25</v>
      </c>
      <c r="D10" s="132" t="s">
        <v>147</v>
      </c>
      <c r="E10" s="27" t="s">
        <v>246</v>
      </c>
      <c r="F10" s="4" t="s">
        <v>79</v>
      </c>
      <c r="G10" s="2">
        <f>+Consumi!AE9</f>
        <v>14140.560000000001</v>
      </c>
      <c r="H10" s="32" t="s">
        <v>7</v>
      </c>
      <c r="I10" s="4">
        <v>109.7</v>
      </c>
      <c r="J10" s="32" t="s">
        <v>82</v>
      </c>
      <c r="K10" s="1">
        <v>346.4</v>
      </c>
      <c r="L10" s="2">
        <v>2883.8</v>
      </c>
      <c r="M10" s="28" t="s">
        <v>82</v>
      </c>
      <c r="N10" s="31">
        <f>+IF(M10="SI",'7'!$E$36,0)</f>
        <v>0</v>
      </c>
      <c r="O10" s="30" t="s">
        <v>82</v>
      </c>
      <c r="P10" s="28" t="s">
        <v>82</v>
      </c>
      <c r="Q10" s="31">
        <f>+IF(P10="SI",'7'!$E$49,0)</f>
        <v>0</v>
      </c>
      <c r="R10" s="28" t="s">
        <v>7</v>
      </c>
      <c r="S10" s="31">
        <f>+IF(R10="SI",'7'!$E$66,0)</f>
        <v>3220</v>
      </c>
      <c r="T10" s="33">
        <f>+'7'!$C$14</f>
        <v>2.362763999999995E-2</v>
      </c>
      <c r="U10" s="28" t="s">
        <v>82</v>
      </c>
      <c r="V10" s="31">
        <f>+IF(U10="SI",'7'!$J$36,0)</f>
        <v>0</v>
      </c>
      <c r="W10" s="29">
        <f>+IF(U10="SI",'7'!$H$14,0)</f>
        <v>0</v>
      </c>
      <c r="X10" s="28" t="s">
        <v>82</v>
      </c>
      <c r="Y10" s="31">
        <f>+IF(X10="SI",'7'!$O$36,0)</f>
        <v>0</v>
      </c>
      <c r="Z10" s="29">
        <f>+IF(X10="SI",'7'!$M$14,0)</f>
        <v>0</v>
      </c>
      <c r="AA10" s="28" t="s">
        <v>82</v>
      </c>
      <c r="AB10" s="31">
        <f>+IF(AA10="SI",'7'!$T$36,0)</f>
        <v>0</v>
      </c>
      <c r="AC10" s="29">
        <f>+IF(AA10="SI",'7'!$R$14,0)</f>
        <v>0</v>
      </c>
      <c r="AD10" s="28" t="s">
        <v>82</v>
      </c>
      <c r="AE10" s="31">
        <f>+IF(AD10="SI",'7'!$Y$36,0)</f>
        <v>0</v>
      </c>
      <c r="AF10" s="29">
        <f>+IF(AD10="SI",'7'!$W$14,0)</f>
        <v>0</v>
      </c>
      <c r="AG10" s="28" t="s">
        <v>82</v>
      </c>
      <c r="AH10" s="31">
        <f>+IF(AG10="SI",'7'!$AD$36,0)</f>
        <v>0</v>
      </c>
      <c r="AI10" s="29">
        <f>+IF(AG10="SI",'7'!$AB$14,0)</f>
        <v>0</v>
      </c>
      <c r="AJ10" s="28" t="s">
        <v>7</v>
      </c>
      <c r="AK10" s="31">
        <f>+IF(AJ10="SI",'7'!$AI$36,0)</f>
        <v>250</v>
      </c>
      <c r="AL10" s="49">
        <f t="shared" si="1"/>
        <v>3470</v>
      </c>
      <c r="AM10" s="52">
        <f t="shared" si="2"/>
        <v>334.10806107839932</v>
      </c>
      <c r="AN10" s="53">
        <f t="shared" si="3"/>
        <v>200.46483664703959</v>
      </c>
      <c r="AO10" s="42">
        <f t="shared" si="4"/>
        <v>17.309768925258762</v>
      </c>
      <c r="AP10" s="43" t="str">
        <f>+IF('Conto Termico'!AC14&lt;&gt;0,(Riassunto!AL10-'Conto Termico'!AC14)/Riassunto!AN10,"")</f>
        <v/>
      </c>
      <c r="AQ10" s="52" t="str">
        <f>IF(O10&lt;&gt;"SI","",G10*(#REF!/1000)*$AW$6*(1-((1-T10)*(1-W10)*(1-Z10)*(1-AC10)*(1-AF10)))/$AW$4)</f>
        <v/>
      </c>
      <c r="AR10" s="53" t="str">
        <f t="shared" si="5"/>
        <v/>
      </c>
      <c r="AS10" s="42" t="str">
        <f t="shared" si="6"/>
        <v/>
      </c>
      <c r="AX10" s="131">
        <f t="shared" si="0"/>
        <v>4164</v>
      </c>
      <c r="AY10" s="131">
        <v>3686.67</v>
      </c>
      <c r="AZ10" s="131">
        <f t="shared" si="7"/>
        <v>-477.32999999999993</v>
      </c>
    </row>
    <row r="11" spans="2:52" s="15" customFormat="1" ht="15.6" x14ac:dyDescent="0.3">
      <c r="B11" s="218">
        <v>8</v>
      </c>
      <c r="C11" s="237">
        <v>26</v>
      </c>
      <c r="D11" s="132" t="s">
        <v>148</v>
      </c>
      <c r="E11" s="27" t="s">
        <v>246</v>
      </c>
      <c r="F11" s="4" t="s">
        <v>79</v>
      </c>
      <c r="G11" s="2">
        <f>+Consumi!AE10</f>
        <v>14140.560000000001</v>
      </c>
      <c r="H11" s="32" t="s">
        <v>7</v>
      </c>
      <c r="I11" s="4">
        <v>170.3</v>
      </c>
      <c r="J11" s="32" t="s">
        <v>82</v>
      </c>
      <c r="K11" s="1">
        <v>1112.0999999999999</v>
      </c>
      <c r="L11" s="2">
        <v>5403</v>
      </c>
      <c r="M11" s="28" t="s">
        <v>7</v>
      </c>
      <c r="N11" s="31">
        <f>+IF(M11="SI",'8'!$E$37,0)</f>
        <v>28490</v>
      </c>
      <c r="O11" s="30" t="s">
        <v>82</v>
      </c>
      <c r="P11" s="28" t="s">
        <v>7</v>
      </c>
      <c r="Q11" s="31">
        <f>+IF(P11="SI",'8'!$E$50,0)</f>
        <v>2000</v>
      </c>
      <c r="R11" s="28" t="s">
        <v>7</v>
      </c>
      <c r="S11" s="31">
        <f>+IF(R11="SI",'8'!$E$67,0)</f>
        <v>3270</v>
      </c>
      <c r="T11" s="33">
        <f>+'8'!$C$14</f>
        <v>0.15380376000000007</v>
      </c>
      <c r="U11" s="28" t="s">
        <v>82</v>
      </c>
      <c r="V11" s="31">
        <f>+IF(U11="SI",'8'!$J$37,0)</f>
        <v>0</v>
      </c>
      <c r="W11" s="29">
        <f>+IF(U11="SI",'8'!$H$14,0)</f>
        <v>0</v>
      </c>
      <c r="X11" s="28" t="s">
        <v>82</v>
      </c>
      <c r="Y11" s="31">
        <f>+IF(X11="SI",'8'!$O$37,0)</f>
        <v>0</v>
      </c>
      <c r="Z11" s="29">
        <f>+IF(X11="SI",'8'!$M$14,0)</f>
        <v>0</v>
      </c>
      <c r="AA11" s="28" t="s">
        <v>82</v>
      </c>
      <c r="AB11" s="31">
        <f>+IF(AA11="SI",'8'!$T$37,0)</f>
        <v>0</v>
      </c>
      <c r="AC11" s="29">
        <f>+IF(AA11="SI",'8'!$R$14,0)</f>
        <v>0</v>
      </c>
      <c r="AD11" s="28" t="s">
        <v>82</v>
      </c>
      <c r="AE11" s="31">
        <f>+IF(AD11="SI",'8'!$Y$37,0)</f>
        <v>0</v>
      </c>
      <c r="AF11" s="29">
        <f>+IF(AD11="SI",'8'!$W$14,0)</f>
        <v>0</v>
      </c>
      <c r="AG11" s="28" t="s">
        <v>82</v>
      </c>
      <c r="AH11" s="31">
        <f>+IF(AG11="SI",'8'!$AD$37,0)</f>
        <v>0</v>
      </c>
      <c r="AI11" s="29">
        <f>+IF(AG11="SI",'8'!$AB$14,0)</f>
        <v>0</v>
      </c>
      <c r="AJ11" s="28" t="s">
        <v>7</v>
      </c>
      <c r="AK11" s="31">
        <f>+IF(AJ11="SI",'8'!$AI$37,0)</f>
        <v>420</v>
      </c>
      <c r="AL11" s="49">
        <f t="shared" si="1"/>
        <v>34180</v>
      </c>
      <c r="AM11" s="52">
        <f t="shared" si="2"/>
        <v>2174.8712965056011</v>
      </c>
      <c r="AN11" s="53">
        <f t="shared" si="3"/>
        <v>1304.9227779033606</v>
      </c>
      <c r="AO11" s="42">
        <f t="shared" si="4"/>
        <v>26.193120833492944</v>
      </c>
      <c r="AP11" s="43">
        <f>+IF('Conto Termico'!AC15&lt;&gt;0,(Riassunto!AL11-'Conto Termico'!AC15)/Riassunto!AN11,"")</f>
        <v>19.155769539223417</v>
      </c>
      <c r="AQ11" s="52" t="str">
        <f>IF(O11&lt;&gt;"SI","",G11*(#REF!/1000)*$AW$6*(1-((1-T11)*(1-W11)*(1-Z11)*(1-AC11)*(1-AF11)))/$AW$4)</f>
        <v/>
      </c>
      <c r="AR11" s="53" t="str">
        <f t="shared" si="5"/>
        <v/>
      </c>
      <c r="AS11" s="42" t="str">
        <f t="shared" si="6"/>
        <v/>
      </c>
      <c r="AX11" s="131">
        <f t="shared" si="0"/>
        <v>41016</v>
      </c>
      <c r="AY11" s="131">
        <v>42969.37</v>
      </c>
      <c r="AZ11" s="131">
        <f t="shared" si="7"/>
        <v>1953.3700000000026</v>
      </c>
    </row>
    <row r="12" spans="2:52" s="15" customFormat="1" ht="15.6" x14ac:dyDescent="0.3">
      <c r="B12" s="218">
        <v>9</v>
      </c>
      <c r="C12" s="3">
        <v>30</v>
      </c>
      <c r="D12" s="240" t="s">
        <v>149</v>
      </c>
      <c r="E12" s="27" t="s">
        <v>317</v>
      </c>
      <c r="F12" s="4" t="s">
        <v>79</v>
      </c>
      <c r="G12" s="2">
        <f>+Consumi!AE11</f>
        <v>26244.624</v>
      </c>
      <c r="H12" s="32" t="s">
        <v>7</v>
      </c>
      <c r="I12" s="4">
        <v>295</v>
      </c>
      <c r="J12" s="32" t="s">
        <v>82</v>
      </c>
      <c r="K12" s="1">
        <v>2164</v>
      </c>
      <c r="L12" s="2">
        <v>9827</v>
      </c>
      <c r="M12" s="28" t="s">
        <v>7</v>
      </c>
      <c r="N12" s="31">
        <f>+IF(M12="SI",'9'!$E$36,0)</f>
        <v>31880</v>
      </c>
      <c r="O12" s="30" t="s">
        <v>82</v>
      </c>
      <c r="P12" s="28" t="s">
        <v>7</v>
      </c>
      <c r="Q12" s="31">
        <f>+IF(P12="SI",'9'!$E$49,0)</f>
        <v>4100</v>
      </c>
      <c r="R12" s="28" t="s">
        <v>7</v>
      </c>
      <c r="S12" s="31">
        <f>+IF(R12="SI",'9'!$E$66,0)</f>
        <v>4420</v>
      </c>
      <c r="T12" s="33">
        <f>+'9'!$C$14</f>
        <v>0.13989625199999989</v>
      </c>
      <c r="U12" s="28" t="s">
        <v>7</v>
      </c>
      <c r="V12" s="31">
        <f>+IF(U12="SI",'9'!$J$36,0)</f>
        <v>5020</v>
      </c>
      <c r="W12" s="29">
        <f>+IF(U12="SI",'9'!$H$14,0)</f>
        <v>0.18000000000000002</v>
      </c>
      <c r="X12" s="28" t="s">
        <v>82</v>
      </c>
      <c r="Y12" s="31">
        <f>+IF(X12="SI",'9'!$O$36,0)</f>
        <v>0</v>
      </c>
      <c r="Z12" s="29">
        <f>+IF(X12="SI",'9'!$M$14,0)</f>
        <v>0</v>
      </c>
      <c r="AA12" s="28" t="s">
        <v>82</v>
      </c>
      <c r="AB12" s="31">
        <f>+IF(AA12="SI",'9'!$T$36,0)</f>
        <v>0</v>
      </c>
      <c r="AC12" s="29">
        <f>+IF(AA12="SI",'9'!$R$14,0)</f>
        <v>0</v>
      </c>
      <c r="AD12" s="28" t="s">
        <v>82</v>
      </c>
      <c r="AE12" s="31">
        <f>+IF(AD12="SI",'9'!$Y$36,0)</f>
        <v>0</v>
      </c>
      <c r="AF12" s="29">
        <f>+IF(AD12="SI",'9'!$W$14,0)</f>
        <v>0</v>
      </c>
      <c r="AG12" s="28" t="s">
        <v>82</v>
      </c>
      <c r="AH12" s="31">
        <f>+IF(AG12="SI",'9'!$AD$36,0)</f>
        <v>0</v>
      </c>
      <c r="AI12" s="29">
        <f>+IF(AG12="SI",'9'!$AB$14,0)</f>
        <v>0</v>
      </c>
      <c r="AJ12" s="28" t="s">
        <v>7</v>
      </c>
      <c r="AK12" s="31">
        <f>+IF(AJ12="SI",'9'!$AI$36,0)</f>
        <v>490</v>
      </c>
      <c r="AL12" s="49">
        <f t="shared" si="1"/>
        <v>45910</v>
      </c>
      <c r="AM12" s="52">
        <f t="shared" si="2"/>
        <v>7734.682436854383</v>
      </c>
      <c r="AN12" s="53">
        <f t="shared" si="3"/>
        <v>4640.8094621126293</v>
      </c>
      <c r="AO12" s="42">
        <f t="shared" si="4"/>
        <v>9.8926707452239278</v>
      </c>
      <c r="AP12" s="43">
        <f>+IF('Conto Termico'!AC16&lt;&gt;0,(Riassunto!AL12-'Conto Termico'!AC16)/Riassunto!AN12,"")</f>
        <v>7.0017957568134683</v>
      </c>
      <c r="AQ12" s="52" t="str">
        <f>IF(O12&lt;&gt;"SI","",G12*(#REF!/1000)*$AW$6*(1-((1-T12)*(1-W12)*(1-Z12)*(1-AC12)*(1-AF12)))/$AW$4)</f>
        <v/>
      </c>
      <c r="AR12" s="53" t="str">
        <f t="shared" si="5"/>
        <v/>
      </c>
      <c r="AS12" s="42" t="str">
        <f t="shared" si="6"/>
        <v/>
      </c>
      <c r="AX12" s="131">
        <f t="shared" si="0"/>
        <v>55092</v>
      </c>
      <c r="AY12" s="131">
        <v>60173.17</v>
      </c>
      <c r="AZ12" s="131">
        <f t="shared" si="7"/>
        <v>5081.1699999999983</v>
      </c>
    </row>
    <row r="13" spans="2:52" s="15" customFormat="1" ht="15.6" x14ac:dyDescent="0.3">
      <c r="B13" s="218">
        <v>10</v>
      </c>
      <c r="C13" s="3">
        <v>43</v>
      </c>
      <c r="D13" s="132" t="s">
        <v>150</v>
      </c>
      <c r="E13" s="27" t="s">
        <v>317</v>
      </c>
      <c r="F13" s="4" t="s">
        <v>79</v>
      </c>
      <c r="G13" s="2">
        <f>+Consumi!AE12</f>
        <v>5568.9760000000006</v>
      </c>
      <c r="H13" s="32" t="s">
        <v>7</v>
      </c>
      <c r="I13" s="4">
        <v>34.1</v>
      </c>
      <c r="J13" s="32" t="s">
        <v>82</v>
      </c>
      <c r="K13" s="1">
        <v>181.4</v>
      </c>
      <c r="L13" s="2">
        <v>718.5</v>
      </c>
      <c r="M13" s="28" t="s">
        <v>7</v>
      </c>
      <c r="N13" s="31">
        <f>+IF(M13="SI",'10'!$E$36,0)</f>
        <v>5700</v>
      </c>
      <c r="O13" s="30" t="s">
        <v>82</v>
      </c>
      <c r="P13" s="28" t="s">
        <v>7</v>
      </c>
      <c r="Q13" s="31">
        <f>+IF(P13="SI",'10'!$E$49,0)</f>
        <v>600</v>
      </c>
      <c r="R13" s="28" t="s">
        <v>7</v>
      </c>
      <c r="S13" s="31">
        <f>+IF(R13="SI",'10'!$E$66,0)</f>
        <v>810</v>
      </c>
      <c r="T13" s="33">
        <f>+'10'!$C$14</f>
        <v>0.17325403199999989</v>
      </c>
      <c r="U13" s="28" t="s">
        <v>82</v>
      </c>
      <c r="V13" s="31">
        <f>+IF(U13="SI",'10'!$J$36,0)</f>
        <v>0</v>
      </c>
      <c r="W13" s="29">
        <f>+IF(U13="SI",'10'!$H$14,0)</f>
        <v>0</v>
      </c>
      <c r="X13" s="28" t="s">
        <v>7</v>
      </c>
      <c r="Y13" s="31">
        <f>+IF(X13="SI",'10'!$O$36,0)</f>
        <v>4300</v>
      </c>
      <c r="Z13" s="29">
        <f>+IF(X13="SI",'10'!$M$14,0)</f>
        <v>0.21233333333333329</v>
      </c>
      <c r="AA13" s="28" t="s">
        <v>82</v>
      </c>
      <c r="AB13" s="31">
        <f>+IF(AA13="SI",'10'!$T$36,0)</f>
        <v>0</v>
      </c>
      <c r="AC13" s="29">
        <f>+IF(AA13="SI",'10'!$R$14,0)</f>
        <v>0</v>
      </c>
      <c r="AD13" s="28" t="s">
        <v>82</v>
      </c>
      <c r="AE13" s="31">
        <f>+IF(AD13="SI",'10'!$Y$36,0)</f>
        <v>0</v>
      </c>
      <c r="AF13" s="29">
        <f>+IF(AD13="SI",'10'!$W$14,0)</f>
        <v>0</v>
      </c>
      <c r="AG13" s="28" t="s">
        <v>82</v>
      </c>
      <c r="AH13" s="31">
        <f>+IF(AG13="SI",'10'!$AD$36,0)</f>
        <v>0</v>
      </c>
      <c r="AI13" s="29">
        <f>+IF(AG13="SI",'10'!$AB$14,0)</f>
        <v>0</v>
      </c>
      <c r="AJ13" s="28" t="s">
        <v>82</v>
      </c>
      <c r="AK13" s="31">
        <f>+IF(AJ13="SI",'10'!$AI$36,0)</f>
        <v>0</v>
      </c>
      <c r="AL13" s="49">
        <f t="shared" si="1"/>
        <v>11410</v>
      </c>
      <c r="AM13" s="52">
        <f t="shared" si="2"/>
        <v>1942.45748782028</v>
      </c>
      <c r="AN13" s="53">
        <f t="shared" si="3"/>
        <v>1165.474492692168</v>
      </c>
      <c r="AO13" s="42">
        <f t="shared" si="4"/>
        <v>9.7900040468870877</v>
      </c>
      <c r="AP13" s="43">
        <f>+IF('Conto Termico'!AC17&lt;&gt;0,(Riassunto!AL13-'Conto Termico'!AC17)/Riassunto!AN13,"")</f>
        <v>6.2978641283217547</v>
      </c>
      <c r="AQ13" s="52" t="str">
        <f>IF(O13&lt;&gt;"SI","",G13*(#REF!/1000)*$AW$6*(1-((1-T13)*(1-W13)*(1-Z13)*(1-AC13)*(1-AF13)))/$AW$4)</f>
        <v/>
      </c>
      <c r="AR13" s="53" t="str">
        <f t="shared" si="5"/>
        <v/>
      </c>
      <c r="AS13" s="42" t="str">
        <f t="shared" si="6"/>
        <v/>
      </c>
      <c r="AT13" s="44"/>
      <c r="AU13" s="44"/>
      <c r="AV13" s="44"/>
      <c r="AX13" s="131">
        <f t="shared" si="0"/>
        <v>13692</v>
      </c>
      <c r="AY13" s="131">
        <v>18273.599999999999</v>
      </c>
      <c r="AZ13" s="131">
        <f t="shared" si="7"/>
        <v>4581.5999999999985</v>
      </c>
    </row>
    <row r="14" spans="2:52" s="15" customFormat="1" ht="15.6" x14ac:dyDescent="0.3">
      <c r="B14" s="218">
        <v>11</v>
      </c>
      <c r="C14" s="3">
        <v>47</v>
      </c>
      <c r="D14" s="132" t="s">
        <v>151</v>
      </c>
      <c r="E14" s="27" t="s">
        <v>317</v>
      </c>
      <c r="F14" s="4" t="s">
        <v>79</v>
      </c>
      <c r="G14" s="2">
        <f>+Consumi!AE13</f>
        <v>7318.7240000000011</v>
      </c>
      <c r="H14" s="32" t="s">
        <v>7</v>
      </c>
      <c r="I14" s="4">
        <v>34</v>
      </c>
      <c r="J14" s="32" t="s">
        <v>82</v>
      </c>
      <c r="K14" s="1">
        <v>81</v>
      </c>
      <c r="L14" s="2">
        <v>505</v>
      </c>
      <c r="M14" s="28" t="s">
        <v>82</v>
      </c>
      <c r="N14" s="31">
        <f>+IF(M14="SI",'11'!$E$36,0)</f>
        <v>0</v>
      </c>
      <c r="O14" s="30" t="s">
        <v>82</v>
      </c>
      <c r="P14" s="28" t="s">
        <v>82</v>
      </c>
      <c r="Q14" s="31">
        <f>+IF(P14="SI",'11'!$E$49,0)</f>
        <v>0</v>
      </c>
      <c r="R14" s="28" t="s">
        <v>7</v>
      </c>
      <c r="S14" s="31">
        <f>+IF(R14="SI",'11'!$E$66,0)</f>
        <v>780</v>
      </c>
      <c r="T14" s="33">
        <f>+'11'!$C$14</f>
        <v>0.05</v>
      </c>
      <c r="U14" s="28" t="s">
        <v>82</v>
      </c>
      <c r="V14" s="31">
        <f>+IF(U14="SI",'11'!$J$36,0)</f>
        <v>0</v>
      </c>
      <c r="W14" s="29">
        <f>+IF(U14="SI",'11'!$H$14,0)</f>
        <v>0</v>
      </c>
      <c r="X14" s="28" t="s">
        <v>82</v>
      </c>
      <c r="Y14" s="31">
        <f>+IF(X14="SI",'11'!$O$36,0)</f>
        <v>0</v>
      </c>
      <c r="Z14" s="29">
        <f>+IF(X14="SI",'11'!$M$14,0)</f>
        <v>0</v>
      </c>
      <c r="AA14" s="28" t="s">
        <v>82</v>
      </c>
      <c r="AB14" s="31">
        <f>+IF(AA14="SI",'11'!$T$36,0)</f>
        <v>0</v>
      </c>
      <c r="AC14" s="29">
        <f>+IF(AA14="SI",'11'!$R$14,0)</f>
        <v>0</v>
      </c>
      <c r="AD14" s="28" t="s">
        <v>82</v>
      </c>
      <c r="AE14" s="31">
        <f>+IF(AD14="SI",'11'!$Y$36,0)</f>
        <v>0</v>
      </c>
      <c r="AF14" s="29">
        <f>+IF(AD14="SI",'11'!$W$14,0)</f>
        <v>0</v>
      </c>
      <c r="AG14" s="28" t="s">
        <v>82</v>
      </c>
      <c r="AH14" s="31">
        <f>+IF(AG14="SI",'11'!$AD$36,0)</f>
        <v>0</v>
      </c>
      <c r="AI14" s="29">
        <f>+IF(AG14="SI",'11'!$AB$14,0)</f>
        <v>0</v>
      </c>
      <c r="AJ14" s="28" t="s">
        <v>82</v>
      </c>
      <c r="AK14" s="31">
        <f>+IF(AJ14="SI",'11'!$AI$36,0)</f>
        <v>0</v>
      </c>
      <c r="AL14" s="49">
        <f t="shared" si="1"/>
        <v>780</v>
      </c>
      <c r="AM14" s="52">
        <f t="shared" si="2"/>
        <v>365.93620000000038</v>
      </c>
      <c r="AN14" s="53">
        <f t="shared" si="3"/>
        <v>219.56172000000024</v>
      </c>
      <c r="AO14" s="42">
        <f t="shared" si="4"/>
        <v>3.5525318347843111</v>
      </c>
      <c r="AP14" s="43" t="str">
        <f>+IF('Conto Termico'!AC18&lt;&gt;0,(Riassunto!AL14-'Conto Termico'!AC18)/Riassunto!AN14,"")</f>
        <v/>
      </c>
      <c r="AQ14" s="52" t="str">
        <f>IF(O14&lt;&gt;"SI","",G14*(#REF!/1000)*$AW$6*(1-((1-T14)*(1-W14)*(1-Z14)*(1-AC14)*(1-AF14)))/$AW$4)</f>
        <v/>
      </c>
      <c r="AR14" s="53" t="str">
        <f t="shared" si="5"/>
        <v/>
      </c>
      <c r="AS14" s="42" t="str">
        <f t="shared" si="6"/>
        <v/>
      </c>
      <c r="AT14" s="44"/>
      <c r="AU14" s="44"/>
      <c r="AV14" s="44"/>
      <c r="AX14" s="131">
        <f t="shared" si="0"/>
        <v>936</v>
      </c>
      <c r="AY14" s="131">
        <v>924.14</v>
      </c>
      <c r="AZ14" s="131">
        <f t="shared" si="7"/>
        <v>-11.860000000000014</v>
      </c>
    </row>
    <row r="15" spans="2:52" s="15" customFormat="1" ht="15.6" x14ac:dyDescent="0.3">
      <c r="B15" s="218">
        <v>12</v>
      </c>
      <c r="C15" s="3">
        <v>27</v>
      </c>
      <c r="D15" s="239" t="s">
        <v>152</v>
      </c>
      <c r="E15" s="27" t="s">
        <v>283</v>
      </c>
      <c r="F15" s="4" t="s">
        <v>79</v>
      </c>
      <c r="G15" s="2">
        <f>+Consumi!AE14</f>
        <v>11453.960000000001</v>
      </c>
      <c r="H15" s="32" t="s">
        <v>7</v>
      </c>
      <c r="I15" s="4">
        <v>79</v>
      </c>
      <c r="J15" s="32" t="s">
        <v>82</v>
      </c>
      <c r="K15" s="1">
        <v>582.70000000000005</v>
      </c>
      <c r="L15" s="2">
        <v>2363.4</v>
      </c>
      <c r="M15" s="28" t="s">
        <v>7</v>
      </c>
      <c r="N15" s="31">
        <f>+IF(M15="SI",'12'!$E$36,0)</f>
        <v>19130</v>
      </c>
      <c r="O15" s="30" t="s">
        <v>82</v>
      </c>
      <c r="P15" s="28" t="s">
        <v>82</v>
      </c>
      <c r="Q15" s="31">
        <f>+IF(P15="SI",'12'!$E$49,0)</f>
        <v>0</v>
      </c>
      <c r="R15" s="28" t="s">
        <v>7</v>
      </c>
      <c r="S15" s="31">
        <f>+IF(R15="SI",'12'!$E$66,0)</f>
        <v>2990</v>
      </c>
      <c r="T15" s="33">
        <f>+'12'!$C$14</f>
        <v>0.10782420000000004</v>
      </c>
      <c r="U15" s="28" t="s">
        <v>7</v>
      </c>
      <c r="V15" s="31">
        <f>+IF(U15="SI",'12'!$J$36,0)</f>
        <v>6870</v>
      </c>
      <c r="W15" s="29">
        <f>+IF(U15="SI",'12'!$H$14,0)</f>
        <v>0.16000000000000003</v>
      </c>
      <c r="X15" s="28" t="s">
        <v>82</v>
      </c>
      <c r="Y15" s="31">
        <f>+IF(X15="SI",'12'!$O$36,0)</f>
        <v>0</v>
      </c>
      <c r="Z15" s="29">
        <f>+IF(X15="SI",'12'!$M$14,0)</f>
        <v>0</v>
      </c>
      <c r="AA15" s="28" t="s">
        <v>82</v>
      </c>
      <c r="AB15" s="31">
        <f>+IF(AA15="SI",'12'!$T$36,0)</f>
        <v>0</v>
      </c>
      <c r="AC15" s="29">
        <f>+IF(AA15="SI",'12'!$R$14,0)</f>
        <v>0</v>
      </c>
      <c r="AD15" s="28" t="s">
        <v>82</v>
      </c>
      <c r="AE15" s="31">
        <f>+IF(AD15="SI",'12'!$Y$36,0)</f>
        <v>0</v>
      </c>
      <c r="AF15" s="29">
        <f>+IF(AD15="SI",'12'!$W$14,0)</f>
        <v>0</v>
      </c>
      <c r="AG15" s="28" t="s">
        <v>82</v>
      </c>
      <c r="AH15" s="31">
        <f>+IF(AG15="SI",'12'!$AD$36,0)</f>
        <v>0</v>
      </c>
      <c r="AI15" s="29">
        <f>+IF(AG15="SI",'12'!$AB$14,0)</f>
        <v>0</v>
      </c>
      <c r="AJ15" s="28" t="s">
        <v>7</v>
      </c>
      <c r="AK15" s="31">
        <f>+IF(AJ15="SI",'12'!$AI$36,0)</f>
        <v>400</v>
      </c>
      <c r="AL15" s="49">
        <f t="shared" si="1"/>
        <v>29390</v>
      </c>
      <c r="AM15" s="52">
        <f t="shared" si="2"/>
        <v>2870.0454220188808</v>
      </c>
      <c r="AN15" s="53">
        <f t="shared" si="3"/>
        <v>1722.0272532113283</v>
      </c>
      <c r="AO15" s="42">
        <f t="shared" si="4"/>
        <v>17.067093418638969</v>
      </c>
      <c r="AP15" s="43">
        <f>+IF('Conto Termico'!AC19&lt;&gt;0,(Riassunto!AL15-'Conto Termico'!AC19)/Riassunto!AN15,"")</f>
        <v>13.671538055751379</v>
      </c>
      <c r="AQ15" s="52" t="str">
        <f>IF(O15&lt;&gt;"SI","",G15*(#REF!/1000)*$AW$6*(1-((1-T15)*(1-W15)*(1-Z15)*(1-AC15)*(1-AF15)))/$AW$4)</f>
        <v/>
      </c>
      <c r="AR15" s="53" t="str">
        <f t="shared" si="5"/>
        <v/>
      </c>
      <c r="AS15" s="42" t="str">
        <f t="shared" si="6"/>
        <v/>
      </c>
      <c r="AT15" s="44"/>
      <c r="AU15" s="44"/>
      <c r="AV15" s="44"/>
      <c r="AX15" s="131">
        <f t="shared" si="0"/>
        <v>35268</v>
      </c>
      <c r="AY15" s="131">
        <v>40902.46</v>
      </c>
      <c r="AZ15" s="131">
        <f t="shared" si="7"/>
        <v>5634.4599999999991</v>
      </c>
    </row>
    <row r="16" spans="2:52" s="15" customFormat="1" ht="15.6" x14ac:dyDescent="0.3">
      <c r="B16" s="218">
        <v>13</v>
      </c>
      <c r="C16" s="3">
        <v>28</v>
      </c>
      <c r="D16" s="132" t="s">
        <v>153</v>
      </c>
      <c r="E16" s="27" t="s">
        <v>297</v>
      </c>
      <c r="F16" s="4" t="s">
        <v>79</v>
      </c>
      <c r="G16" s="2">
        <f>+Consumi!AE15</f>
        <v>13121.856000000002</v>
      </c>
      <c r="H16" s="32" t="s">
        <v>7</v>
      </c>
      <c r="I16" s="4">
        <f>55+48.3</f>
        <v>103.3</v>
      </c>
      <c r="J16" s="32" t="s">
        <v>82</v>
      </c>
      <c r="K16" s="1">
        <v>697.6</v>
      </c>
      <c r="L16" s="2">
        <v>4036.7</v>
      </c>
      <c r="M16" s="28" t="s">
        <v>82</v>
      </c>
      <c r="N16" s="31">
        <f>+IF(M16="SI",'13'!$E$36,0)</f>
        <v>0</v>
      </c>
      <c r="O16" s="30" t="s">
        <v>82</v>
      </c>
      <c r="P16" s="28" t="s">
        <v>82</v>
      </c>
      <c r="Q16" s="31">
        <f>+IF(P16="SI",'13'!$E$49,0)</f>
        <v>0</v>
      </c>
      <c r="R16" s="28" t="s">
        <v>7</v>
      </c>
      <c r="S16" s="31">
        <f>+IF(R16="SI",'13'!$E$66,0)</f>
        <v>3780</v>
      </c>
      <c r="T16" s="33">
        <f>+'13'!$C$14</f>
        <v>2.5759250000000122E-2</v>
      </c>
      <c r="U16" s="28" t="s">
        <v>82</v>
      </c>
      <c r="V16" s="31">
        <f>+IF(U16="SI",'13'!$J$36,0)</f>
        <v>0</v>
      </c>
      <c r="W16" s="29">
        <f>+IF(U16="SI",'13'!$H$14,0)</f>
        <v>0</v>
      </c>
      <c r="X16" s="28" t="s">
        <v>82</v>
      </c>
      <c r="Y16" s="31">
        <f>+IF(X16="SI",'13'!$O$36,0)</f>
        <v>0</v>
      </c>
      <c r="Z16" s="29">
        <f>+IF(X16="SI",'13'!$M$14,0)</f>
        <v>0</v>
      </c>
      <c r="AA16" s="28" t="s">
        <v>82</v>
      </c>
      <c r="AB16" s="31">
        <f>+IF(AA16="SI",'13'!$T$36,0)</f>
        <v>0</v>
      </c>
      <c r="AC16" s="29">
        <f>+IF(AA16="SI",'13'!$R$14,0)</f>
        <v>0</v>
      </c>
      <c r="AD16" s="28" t="s">
        <v>82</v>
      </c>
      <c r="AE16" s="31">
        <f>+IF(AD16="SI",'13'!$Y$36,0)</f>
        <v>0</v>
      </c>
      <c r="AF16" s="29">
        <f>+IF(AD16="SI",'13'!$W$14,0)</f>
        <v>0</v>
      </c>
      <c r="AG16" s="28" t="s">
        <v>82</v>
      </c>
      <c r="AH16" s="31">
        <f>+IF(AG16="SI",'13'!$AD$36,0)</f>
        <v>0</v>
      </c>
      <c r="AI16" s="29">
        <f>+IF(AG16="SI",'13'!$AB$14,0)</f>
        <v>0</v>
      </c>
      <c r="AJ16" s="28" t="s">
        <v>7</v>
      </c>
      <c r="AK16" s="31">
        <f>+IF(AJ16="SI",'13'!$AI$36,0)</f>
        <v>330</v>
      </c>
      <c r="AL16" s="49">
        <f t="shared" si="1"/>
        <v>4110</v>
      </c>
      <c r="AM16" s="52">
        <f t="shared" si="2"/>
        <v>338.00916916800162</v>
      </c>
      <c r="AN16" s="53">
        <f t="shared" si="3"/>
        <v>202.80550150080097</v>
      </c>
      <c r="AO16" s="42">
        <f t="shared" si="4"/>
        <v>20.265722426586972</v>
      </c>
      <c r="AP16" s="43" t="str">
        <f>+IF('Conto Termico'!AC20&lt;&gt;0,(Riassunto!AL16-'Conto Termico'!AC20)/Riassunto!AN16,"")</f>
        <v/>
      </c>
      <c r="AQ16" s="52" t="str">
        <f>IF(O16&lt;&gt;"SI","",G16*(#REF!/1000)*$AW$6*(1-((1-T16)*(1-W16)*(1-Z16)*(1-AC16)*(1-AF16)))/$AW$4)</f>
        <v/>
      </c>
      <c r="AR16" s="53" t="str">
        <f t="shared" si="5"/>
        <v/>
      </c>
      <c r="AS16" s="42" t="str">
        <f t="shared" si="6"/>
        <v/>
      </c>
      <c r="AT16" s="44"/>
      <c r="AU16" s="44"/>
      <c r="AV16" s="44"/>
      <c r="AX16" s="131">
        <f t="shared" si="0"/>
        <v>4932</v>
      </c>
      <c r="AY16" s="131">
        <v>4415.8500000000004</v>
      </c>
      <c r="AZ16" s="131">
        <f t="shared" si="7"/>
        <v>-516.14999999999964</v>
      </c>
    </row>
    <row r="17" spans="2:52" s="15" customFormat="1" ht="15.6" x14ac:dyDescent="0.3">
      <c r="B17" s="218">
        <v>14</v>
      </c>
      <c r="C17" s="3">
        <v>29</v>
      </c>
      <c r="D17" s="132" t="s">
        <v>154</v>
      </c>
      <c r="E17" s="27" t="s">
        <v>301</v>
      </c>
      <c r="F17" s="4" t="s">
        <v>79</v>
      </c>
      <c r="G17" s="2">
        <f>+Consumi!AE16</f>
        <v>29209.992000000002</v>
      </c>
      <c r="H17" s="32" t="s">
        <v>7</v>
      </c>
      <c r="I17" s="4">
        <v>318</v>
      </c>
      <c r="J17" s="32" t="s">
        <v>82</v>
      </c>
      <c r="K17" s="1">
        <v>1446</v>
      </c>
      <c r="L17" s="2">
        <v>9330</v>
      </c>
      <c r="M17" s="28" t="s">
        <v>7</v>
      </c>
      <c r="N17" s="31">
        <f>+IF(M17="SI",'14'!$E$36,0)</f>
        <v>29530</v>
      </c>
      <c r="O17" s="30" t="s">
        <v>82</v>
      </c>
      <c r="P17" s="28" t="s">
        <v>82</v>
      </c>
      <c r="Q17" s="31">
        <f>+IF(P17="SI",'14'!$E$49,0)</f>
        <v>0</v>
      </c>
      <c r="R17" s="28" t="s">
        <v>7</v>
      </c>
      <c r="S17" s="31">
        <f>+IF(R17="SI",'14'!$E$66,0)</f>
        <v>1350</v>
      </c>
      <c r="T17" s="33">
        <f>+'14'!$C$14</f>
        <v>0.12970895999999998</v>
      </c>
      <c r="U17" s="28" t="s">
        <v>82</v>
      </c>
      <c r="V17" s="31">
        <f>+IF(U17="SI",'14'!$J$36,0)</f>
        <v>0</v>
      </c>
      <c r="W17" s="29">
        <f>+IF(U17="SI",'14'!$H$14,0)</f>
        <v>0</v>
      </c>
      <c r="X17" s="28" t="s">
        <v>7</v>
      </c>
      <c r="Y17" s="31">
        <f>+IF(X17="SI",'14'!$O$36,0)</f>
        <v>30400</v>
      </c>
      <c r="Z17" s="29">
        <f>+IF(X17="SI",'14'!$M$14,0)</f>
        <v>0.21233333333333329</v>
      </c>
      <c r="AA17" s="28" t="s">
        <v>82</v>
      </c>
      <c r="AB17" s="31">
        <f>+IF(AA17="SI",'14'!$T$36,0)</f>
        <v>0</v>
      </c>
      <c r="AC17" s="29">
        <f>+IF(AA17="SI",'14'!$R$14,0)</f>
        <v>0</v>
      </c>
      <c r="AD17" s="28" t="s">
        <v>82</v>
      </c>
      <c r="AE17" s="31">
        <f>+IF(AD17="SI",'14'!$Y$36,0)</f>
        <v>0</v>
      </c>
      <c r="AF17" s="29">
        <f>+IF(AD17="SI",'14'!$W$14,0)</f>
        <v>0</v>
      </c>
      <c r="AG17" s="28" t="s">
        <v>82</v>
      </c>
      <c r="AH17" s="31">
        <f>+IF(AG17="SI",'14'!$AD$36,0)</f>
        <v>0</v>
      </c>
      <c r="AI17" s="29">
        <f>+IF(AG17="SI",'14'!$AB$14,0)</f>
        <v>0</v>
      </c>
      <c r="AJ17" s="28" t="s">
        <v>7</v>
      </c>
      <c r="AK17" s="31">
        <f>+IF(AJ17="SI",'14'!$AI$36,0)</f>
        <v>1010</v>
      </c>
      <c r="AL17" s="49">
        <f t="shared" si="1"/>
        <v>62290</v>
      </c>
      <c r="AM17" s="52">
        <f t="shared" si="2"/>
        <v>9186.5646103742056</v>
      </c>
      <c r="AN17" s="53">
        <f t="shared" si="3"/>
        <v>5511.9387662245235</v>
      </c>
      <c r="AO17" s="42">
        <f t="shared" si="4"/>
        <v>11.300923802291507</v>
      </c>
      <c r="AP17" s="43">
        <f>+IF('Conto Termico'!AC21&lt;&gt;0,(Riassunto!AL17-'Conto Termico'!AC21)/Riassunto!AN17,"")</f>
        <v>6.3023196507304924</v>
      </c>
      <c r="AQ17" s="52" t="str">
        <f>IF(O17&lt;&gt;"SI","",G17*(#REF!/1000)*$AW$6*(1-((1-T17)*(1-W17)*(1-Z17)*(1-AC17)*(1-AF17)))/$AW$4)</f>
        <v/>
      </c>
      <c r="AR17" s="53" t="str">
        <f t="shared" si="5"/>
        <v/>
      </c>
      <c r="AS17" s="42" t="str">
        <f t="shared" si="6"/>
        <v/>
      </c>
      <c r="AT17" s="44"/>
      <c r="AU17" s="44"/>
      <c r="AV17" s="44"/>
      <c r="AX17" s="131">
        <f t="shared" si="0"/>
        <v>74748</v>
      </c>
      <c r="AY17" s="131">
        <v>72670.48</v>
      </c>
      <c r="AZ17" s="131">
        <f t="shared" si="7"/>
        <v>-2077.5200000000041</v>
      </c>
    </row>
    <row r="18" spans="2:52" s="15" customFormat="1" ht="15.6" x14ac:dyDescent="0.3">
      <c r="B18" s="218">
        <v>15</v>
      </c>
      <c r="C18" s="3">
        <v>31</v>
      </c>
      <c r="D18" s="133" t="s">
        <v>155</v>
      </c>
      <c r="E18" s="27" t="s">
        <v>408</v>
      </c>
      <c r="F18" s="4" t="s">
        <v>79</v>
      </c>
      <c r="G18" s="2">
        <f>+Consumi!AE17</f>
        <v>10813.128000000001</v>
      </c>
      <c r="H18" s="32" t="s">
        <v>7</v>
      </c>
      <c r="I18" s="4">
        <v>75</v>
      </c>
      <c r="J18" s="32" t="s">
        <v>82</v>
      </c>
      <c r="K18" s="1">
        <v>637.70000000000005</v>
      </c>
      <c r="L18" s="2">
        <v>3078.5</v>
      </c>
      <c r="M18" s="28" t="s">
        <v>82</v>
      </c>
      <c r="N18" s="31">
        <f>+IF(M18="SI",'15'!$E$36,0)</f>
        <v>0</v>
      </c>
      <c r="O18" s="30" t="s">
        <v>82</v>
      </c>
      <c r="P18" s="28" t="s">
        <v>7</v>
      </c>
      <c r="Q18" s="31">
        <f>+IF(P18="SI",'15'!$E$49,0)</f>
        <v>1500</v>
      </c>
      <c r="R18" s="28" t="s">
        <v>7</v>
      </c>
      <c r="S18" s="31">
        <f>+IF(R18="SI",'15'!$E$66,0)</f>
        <v>870</v>
      </c>
      <c r="T18" s="33">
        <f>+'15'!$C$14</f>
        <v>2.5046447999999888E-2</v>
      </c>
      <c r="U18" s="28" t="s">
        <v>82</v>
      </c>
      <c r="V18" s="31">
        <f>+IF(U18="SI",'15'!$J$36,0)</f>
        <v>0</v>
      </c>
      <c r="W18" s="29">
        <f>+IF(U18="SI",'15'!$H$14,0)</f>
        <v>0</v>
      </c>
      <c r="X18" s="28" t="s">
        <v>82</v>
      </c>
      <c r="Y18" s="31">
        <f>+IF(X18="SI",'15'!$O$36,0)</f>
        <v>0</v>
      </c>
      <c r="Z18" s="29">
        <f>+IF(X18="SI",'15'!$M$14,0)</f>
        <v>0</v>
      </c>
      <c r="AA18" s="28" t="s">
        <v>82</v>
      </c>
      <c r="AB18" s="31">
        <f>+IF(AA18="SI",'15'!$T$36,0)</f>
        <v>0</v>
      </c>
      <c r="AC18" s="29">
        <f>+IF(AA18="SI",'15'!$R$14,0)</f>
        <v>0</v>
      </c>
      <c r="AD18" s="28" t="s">
        <v>82</v>
      </c>
      <c r="AE18" s="31">
        <f>+IF(AD18="SI",'15'!$Y$36,0)</f>
        <v>0</v>
      </c>
      <c r="AF18" s="29">
        <f>+IF(AD18="SI",'15'!$W$14,0)</f>
        <v>0</v>
      </c>
      <c r="AG18" s="28" t="s">
        <v>82</v>
      </c>
      <c r="AH18" s="31">
        <f>+IF(AG18="SI",'15'!$AD$36,0)</f>
        <v>0</v>
      </c>
      <c r="AI18" s="29">
        <f>+IF(AG18="SI",'15'!$AB$14,0)</f>
        <v>0</v>
      </c>
      <c r="AJ18" s="28" t="s">
        <v>7</v>
      </c>
      <c r="AK18" s="31">
        <f>+IF(AJ18="SI",'15'!$AI$36,0)</f>
        <v>150</v>
      </c>
      <c r="AL18" s="49">
        <f t="shared" si="1"/>
        <v>2520</v>
      </c>
      <c r="AM18" s="52">
        <f t="shared" si="2"/>
        <v>270.83044816934279</v>
      </c>
      <c r="AN18" s="53">
        <f t="shared" si="3"/>
        <v>162.49826890160566</v>
      </c>
      <c r="AO18" s="42">
        <f t="shared" si="4"/>
        <v>15.507857511552233</v>
      </c>
      <c r="AP18" s="43" t="str">
        <f>+IF('Conto Termico'!AC22&lt;&gt;0,(Riassunto!AL18-'Conto Termico'!AC22)/Riassunto!AN18,"")</f>
        <v/>
      </c>
      <c r="AQ18" s="52" t="str">
        <f>IF(O18&lt;&gt;"SI","",G18*(#REF!/1000)*$AW$6*(1-((1-T18)*(1-W18)*(1-Z18)*(1-AC18)*(1-AF18)))/$AW$4)</f>
        <v/>
      </c>
      <c r="AR18" s="53" t="str">
        <f t="shared" si="5"/>
        <v/>
      </c>
      <c r="AS18" s="42" t="str">
        <f t="shared" si="6"/>
        <v/>
      </c>
      <c r="AT18" s="44"/>
      <c r="AU18" s="44"/>
      <c r="AV18" s="44"/>
      <c r="AX18" s="131">
        <f t="shared" si="0"/>
        <v>3024</v>
      </c>
      <c r="AY18" s="131">
        <v>3269.34</v>
      </c>
      <c r="AZ18" s="131">
        <f t="shared" si="7"/>
        <v>245.34000000000015</v>
      </c>
    </row>
    <row r="19" spans="2:52" s="15" customFormat="1" ht="15.6" x14ac:dyDescent="0.3">
      <c r="B19" s="218">
        <v>16</v>
      </c>
      <c r="C19" s="3">
        <v>32</v>
      </c>
      <c r="D19" s="132" t="s">
        <v>156</v>
      </c>
      <c r="E19" s="27" t="s">
        <v>325</v>
      </c>
      <c r="F19" s="4" t="s">
        <v>79</v>
      </c>
      <c r="G19" s="2">
        <f>+Consumi!AE18</f>
        <v>25236.18</v>
      </c>
      <c r="H19" s="32" t="s">
        <v>7</v>
      </c>
      <c r="I19" s="4">
        <v>258.10000000000002</v>
      </c>
      <c r="J19" s="32" t="s">
        <v>82</v>
      </c>
      <c r="K19" s="1">
        <v>1468</v>
      </c>
      <c r="L19" s="2">
        <v>6892</v>
      </c>
      <c r="M19" s="28" t="s">
        <v>7</v>
      </c>
      <c r="N19" s="31">
        <f>+IF(M19="SI",'16'!$E$36,0)</f>
        <v>27590</v>
      </c>
      <c r="O19" s="30" t="s">
        <v>82</v>
      </c>
      <c r="P19" s="28" t="s">
        <v>7</v>
      </c>
      <c r="Q19" s="31">
        <f>+IF(P19="SI",'16'!$E$49,0)</f>
        <v>3000</v>
      </c>
      <c r="R19" s="28" t="s">
        <v>7</v>
      </c>
      <c r="S19" s="31">
        <f>+IF(R19="SI",'16'!$E$66,0)</f>
        <v>1600</v>
      </c>
      <c r="T19" s="33">
        <f>+'16'!$C$14</f>
        <v>0.14784768000000015</v>
      </c>
      <c r="U19" s="28" t="s">
        <v>82</v>
      </c>
      <c r="V19" s="31">
        <f>+IF(U19="SI",'16'!$J$36,0)</f>
        <v>0</v>
      </c>
      <c r="W19" s="29">
        <f>+IF(U19="SI",'16'!$H$14,0)</f>
        <v>0</v>
      </c>
      <c r="X19" s="28" t="s">
        <v>82</v>
      </c>
      <c r="Y19" s="31">
        <f>+IF(X19="SI",'16'!$O$36,0)</f>
        <v>0</v>
      </c>
      <c r="Z19" s="29">
        <f>+IF(X19="SI",'16'!$M$14,0)</f>
        <v>0</v>
      </c>
      <c r="AA19" s="28" t="s">
        <v>82</v>
      </c>
      <c r="AB19" s="31">
        <f>+IF(AA19="SI",'16'!$T$36,0)</f>
        <v>0</v>
      </c>
      <c r="AC19" s="29">
        <f>+IF(AA19="SI",'16'!$R$14,0)</f>
        <v>0</v>
      </c>
      <c r="AD19" s="28" t="s">
        <v>82</v>
      </c>
      <c r="AE19" s="31">
        <f>+IF(AD19="SI",'16'!$Y$36,0)</f>
        <v>0</v>
      </c>
      <c r="AF19" s="29">
        <f>+IF(AD19="SI",'16'!$W$14,0)</f>
        <v>0</v>
      </c>
      <c r="AG19" s="28" t="s">
        <v>82</v>
      </c>
      <c r="AH19" s="31">
        <f>+IF(AG19="SI",'16'!$AD$36,0)</f>
        <v>0</v>
      </c>
      <c r="AI19" s="29">
        <f>+IF(AG19="SI",'16'!$AB$14,0)</f>
        <v>0</v>
      </c>
      <c r="AJ19" s="28" t="s">
        <v>7</v>
      </c>
      <c r="AK19" s="31">
        <f>+IF(AJ19="SI",'16'!$AI$36,0)</f>
        <v>90</v>
      </c>
      <c r="AL19" s="49">
        <f>+N19+Q19+S19+V19+Y19+AB19+AE19+AH19+AK19</f>
        <v>32280</v>
      </c>
      <c r="AM19" s="52">
        <f>IF(O19&lt;&gt;"SI",G19*(1-((1-T19)*(1-W19)*(1-Z19)*(1-AC19)*(1-AF19))),0)</f>
        <v>3731.1106650624038</v>
      </c>
      <c r="AN19" s="53">
        <f>IF(O19&lt;&gt;"SI",AM19*$AU$4,"")</f>
        <v>2238.6663990374423</v>
      </c>
      <c r="AO19" s="42">
        <f>+IF(AM19&lt;&gt;0,AL19/AN19,"")</f>
        <v>14.419298924520156</v>
      </c>
      <c r="AP19" s="43">
        <f>+IF('Conto Termico'!AC23&lt;&gt;0,(Riassunto!AL19-'Conto Termico'!AC23)/Riassunto!AN19,"")</f>
        <v>9.3184049257939918</v>
      </c>
      <c r="AQ19" s="52" t="str">
        <f>IF(O19&lt;&gt;"SI","",G19*(#REF!/1000)*$AW$6*(1-((1-T19)*(1-W19)*(1-Z19)*(1-AC19)*(1-AF19)))/$AW$4)</f>
        <v/>
      </c>
      <c r="AR19" s="53" t="str">
        <f>IF(O19&lt;&gt;"SI","",AQ19*$AU$4)</f>
        <v/>
      </c>
      <c r="AS19" s="42" t="str">
        <f>+IF(AQ19&lt;&gt;"",AL19/AR19,"")</f>
        <v/>
      </c>
      <c r="AT19" s="44"/>
      <c r="AU19" s="44"/>
      <c r="AV19" s="44"/>
      <c r="AX19" s="131">
        <f t="shared" si="0"/>
        <v>38736</v>
      </c>
      <c r="AY19" s="131">
        <v>41365.07</v>
      </c>
      <c r="AZ19" s="131">
        <f t="shared" si="7"/>
        <v>2629.0699999999997</v>
      </c>
    </row>
    <row r="20" spans="2:52" s="15" customFormat="1" ht="15.6" x14ac:dyDescent="0.3">
      <c r="B20" s="218">
        <v>17</v>
      </c>
      <c r="C20" s="3">
        <v>33</v>
      </c>
      <c r="D20" s="132" t="s">
        <v>157</v>
      </c>
      <c r="E20" s="27" t="s">
        <v>331</v>
      </c>
      <c r="F20" s="4" t="s">
        <v>79</v>
      </c>
      <c r="G20" s="2">
        <f>+Consumi!AE19</f>
        <v>13266.864000000001</v>
      </c>
      <c r="H20" s="32" t="s">
        <v>7</v>
      </c>
      <c r="I20" s="4">
        <v>114.8</v>
      </c>
      <c r="J20" s="32" t="s">
        <v>82</v>
      </c>
      <c r="K20" s="1">
        <v>826.3</v>
      </c>
      <c r="L20" s="2">
        <v>4366</v>
      </c>
      <c r="M20" s="28" t="s">
        <v>7</v>
      </c>
      <c r="N20" s="31">
        <f>+IF(M20="SI",'17'!$E$36,0)</f>
        <v>19160</v>
      </c>
      <c r="O20" s="30" t="s">
        <v>82</v>
      </c>
      <c r="P20" s="28" t="s">
        <v>7</v>
      </c>
      <c r="Q20" s="31">
        <f>+IF(P20="SI",'17'!$E$49,0)</f>
        <v>500</v>
      </c>
      <c r="R20" s="28" t="s">
        <v>7</v>
      </c>
      <c r="S20" s="31">
        <f>+IF(R20="SI",'17'!$E$66,0)</f>
        <v>1960</v>
      </c>
      <c r="T20" s="33">
        <f>+'17'!$C$14</f>
        <v>0.11093580800000002</v>
      </c>
      <c r="U20" s="28" t="s">
        <v>82</v>
      </c>
      <c r="V20" s="31">
        <f>+IF(U20="SI",'16'!$J$36,0)</f>
        <v>0</v>
      </c>
      <c r="W20" s="29">
        <f>+IF(U20="SI",'17'!$H$14,0)</f>
        <v>0</v>
      </c>
      <c r="X20" s="28" t="s">
        <v>7</v>
      </c>
      <c r="Y20" s="31">
        <f>+IF(X20="SI",'17'!$O$36,0)</f>
        <v>10440</v>
      </c>
      <c r="Z20" s="29">
        <f>+IF(X20="SI",'17'!$M$14,0)</f>
        <v>0.12133333333333333</v>
      </c>
      <c r="AA20" s="28" t="s">
        <v>82</v>
      </c>
      <c r="AB20" s="31">
        <f>+IF(AA20="SI",'16'!$T$36,0)</f>
        <v>0</v>
      </c>
      <c r="AC20" s="29">
        <f>+IF(AA20="SI",'16'!$R$14,0)</f>
        <v>0</v>
      </c>
      <c r="AD20" s="28" t="s">
        <v>82</v>
      </c>
      <c r="AE20" s="31">
        <f>+IF(AD20="SI",'16'!$Y$36,0)</f>
        <v>0</v>
      </c>
      <c r="AF20" s="29">
        <f>+IF(AD20="SI",'16'!$W$14,0)</f>
        <v>0</v>
      </c>
      <c r="AG20" s="28" t="s">
        <v>82</v>
      </c>
      <c r="AH20" s="31">
        <f>+IF(AG20="SI",'16'!$AD$36,0)</f>
        <v>0</v>
      </c>
      <c r="AI20" s="29">
        <f>+IF(AG20="SI",'16'!$AB$14,0)</f>
        <v>0</v>
      </c>
      <c r="AJ20" s="28" t="s">
        <v>7</v>
      </c>
      <c r="AK20" s="31">
        <f>+IF(AJ20="SI",'17'!$AI$36,0)</f>
        <v>190</v>
      </c>
      <c r="AL20" s="49">
        <f t="shared" ref="AL20:AL33" si="8">+N20+Q20+S20+V20+Y20+AB20+AE20+AH20+AK20</f>
        <v>32250</v>
      </c>
      <c r="AM20" s="52">
        <f t="shared" ref="AM20:AM33" si="9">IF(O20&lt;&gt;"SI",G20*(1-((1-T20)*(1-W20)*(1-Z20)*(1-AC20)*(1-AF20))),0)</f>
        <v>2902.908315800224</v>
      </c>
      <c r="AN20" s="53">
        <f t="shared" ref="AN20:AN33" si="10">IF(O20&lt;&gt;"SI",AM20*$AU$4,"")</f>
        <v>1741.7449894801343</v>
      </c>
      <c r="AO20" s="42">
        <f t="shared" ref="AO20:AO33" si="11">+IF(AM20&lt;&gt;0,AL20/AN20,"")</f>
        <v>18.515913750167176</v>
      </c>
      <c r="AP20" s="43">
        <f>+IF('Conto Termico'!AC24&lt;&gt;0,(Riassunto!AL20-'Conto Termico'!AC24)/Riassunto!AN20,"")</f>
        <v>12.240827519970985</v>
      </c>
      <c r="AQ20" s="52" t="str">
        <f>IF(O20&lt;&gt;"SI","",G20*(#REF!/1000)*$AW$6*(1-((1-T20)*(1-W20)*(1-Z20)*(1-AC20)*(1-AF20)))/$AW$4)</f>
        <v/>
      </c>
      <c r="AR20" s="53" t="str">
        <f t="shared" ref="AR20:AR33" si="12">IF(O20&lt;&gt;"SI","",AQ20*$AU$4)</f>
        <v/>
      </c>
      <c r="AS20" s="42" t="str">
        <f t="shared" ref="AS20:AS33" si="13">+IF(AQ20&lt;&gt;"",AL20/AR20,"")</f>
        <v/>
      </c>
      <c r="AT20" s="44"/>
      <c r="AU20" s="44"/>
      <c r="AV20" s="44"/>
      <c r="AX20" s="131">
        <f t="shared" si="0"/>
        <v>38700</v>
      </c>
      <c r="AY20" s="131">
        <v>36163.760000000002</v>
      </c>
      <c r="AZ20" s="131">
        <f t="shared" si="7"/>
        <v>-2536.239999999998</v>
      </c>
    </row>
    <row r="21" spans="2:52" s="15" customFormat="1" ht="15.6" x14ac:dyDescent="0.3">
      <c r="B21" s="218">
        <v>18</v>
      </c>
      <c r="C21" s="3">
        <v>34</v>
      </c>
      <c r="D21" s="132" t="s">
        <v>158</v>
      </c>
      <c r="E21" s="129" t="s">
        <v>337</v>
      </c>
      <c r="F21" s="4" t="s">
        <v>79</v>
      </c>
      <c r="G21" s="2">
        <f>+Consumi!AE20</f>
        <v>10008.516000000001</v>
      </c>
      <c r="H21" s="32" t="s">
        <v>7</v>
      </c>
      <c r="I21" s="4">
        <f>116+25.8*2</f>
        <v>167.6</v>
      </c>
      <c r="J21" s="32" t="s">
        <v>82</v>
      </c>
      <c r="K21" s="1">
        <v>736.97</v>
      </c>
      <c r="L21" s="2">
        <v>3709.8</v>
      </c>
      <c r="M21" s="28" t="s">
        <v>7</v>
      </c>
      <c r="N21" s="31">
        <f>+IF(M21="SI",'18'!$E$36,0)</f>
        <v>8780</v>
      </c>
      <c r="O21" s="30" t="s">
        <v>82</v>
      </c>
      <c r="P21" s="28" t="s">
        <v>82</v>
      </c>
      <c r="Q21" s="31">
        <f>+IF(P21="SI",'18'!$E$49,0)</f>
        <v>0</v>
      </c>
      <c r="R21" s="28" t="s">
        <v>7</v>
      </c>
      <c r="S21" s="31">
        <f>+IF(R21="SI",'18'!$E$66,0)</f>
        <v>980</v>
      </c>
      <c r="T21" s="33">
        <f>+'18'!$C$14</f>
        <v>3.8394488000000004E-2</v>
      </c>
      <c r="U21" s="28" t="s">
        <v>82</v>
      </c>
      <c r="V21" s="31">
        <f>+IF(U21="SI",'18'!$J$36,0)</f>
        <v>0</v>
      </c>
      <c r="W21" s="29">
        <f>+IF(U21="SI",'18'!$H$14,0)</f>
        <v>0</v>
      </c>
      <c r="X21" s="28" t="s">
        <v>82</v>
      </c>
      <c r="Y21" s="31">
        <f>+IF(X21="SI",'18'!$O$36,0)</f>
        <v>0</v>
      </c>
      <c r="Z21" s="29">
        <f>+IF(X21="SI",'18'!$M$14,0)</f>
        <v>0</v>
      </c>
      <c r="AA21" s="28" t="s">
        <v>82</v>
      </c>
      <c r="AB21" s="31">
        <f>+IF(AA21="SI",'18'!$T$36,0)</f>
        <v>0</v>
      </c>
      <c r="AC21" s="29">
        <f>+IF(AA21="SI",'18'!$R$14,0)</f>
        <v>0</v>
      </c>
      <c r="AD21" s="28" t="s">
        <v>82</v>
      </c>
      <c r="AE21" s="31">
        <f>+IF(AD21="SI",'18'!$Y$36,0)</f>
        <v>0</v>
      </c>
      <c r="AF21" s="29">
        <f>+IF(AD21="SI",'18'!$W$14,0)</f>
        <v>0</v>
      </c>
      <c r="AG21" s="28" t="s">
        <v>82</v>
      </c>
      <c r="AH21" s="31">
        <f>+IF(AG21="SI",'18'!$AD$36,0)</f>
        <v>0</v>
      </c>
      <c r="AI21" s="29">
        <f>+IF(AG21="SI",'18'!$AB$14,0)</f>
        <v>0</v>
      </c>
      <c r="AJ21" s="28" t="s">
        <v>7</v>
      </c>
      <c r="AK21" s="31">
        <f>+IF(AJ21="SI",'18'!$AI$36,0)</f>
        <v>20</v>
      </c>
      <c r="AL21" s="49">
        <f t="shared" si="8"/>
        <v>9780</v>
      </c>
      <c r="AM21" s="52">
        <f t="shared" si="9"/>
        <v>384.2718474598081</v>
      </c>
      <c r="AN21" s="53">
        <f t="shared" si="10"/>
        <v>230.56310847588486</v>
      </c>
      <c r="AO21" s="42">
        <f t="shared" si="11"/>
        <v>42.417887513096716</v>
      </c>
      <c r="AP21" s="43" t="str">
        <f>+IF('Conto Termico'!AC25&lt;&gt;0,(Riassunto!AL21-'Conto Termico'!AC25)/Riassunto!AN21,"")</f>
        <v/>
      </c>
      <c r="AQ21" s="52" t="str">
        <f>IF(O21&lt;&gt;"SI","",G21*(#REF!/1000)*$AW$6*(1-((1-T21)*(1-W21)*(1-Z21)*(1-AC21)*(1-AF21)))/$AW$4)</f>
        <v/>
      </c>
      <c r="AR21" s="53" t="str">
        <f t="shared" si="12"/>
        <v/>
      </c>
      <c r="AS21" s="42" t="str">
        <f t="shared" si="13"/>
        <v/>
      </c>
      <c r="AT21" s="44"/>
      <c r="AU21" s="44"/>
      <c r="AV21" s="44"/>
      <c r="AX21" s="131">
        <f t="shared" si="0"/>
        <v>11736</v>
      </c>
      <c r="AY21" s="131">
        <v>14665.16</v>
      </c>
      <c r="AZ21" s="131">
        <f t="shared" si="7"/>
        <v>2929.16</v>
      </c>
    </row>
    <row r="22" spans="2:52" s="15" customFormat="1" ht="15" customHeight="1" x14ac:dyDescent="0.3">
      <c r="B22" s="218">
        <v>19</v>
      </c>
      <c r="C22" s="3">
        <v>35</v>
      </c>
      <c r="D22" s="239" t="s">
        <v>159</v>
      </c>
      <c r="E22" s="129" t="s">
        <v>360</v>
      </c>
      <c r="F22" s="4" t="s">
        <v>79</v>
      </c>
      <c r="G22" s="2">
        <f>+Consumi!AE21</f>
        <v>68468.932000000001</v>
      </c>
      <c r="H22" s="32" t="s">
        <v>7</v>
      </c>
      <c r="I22" s="4">
        <f>135*3+109.5+28</f>
        <v>542.5</v>
      </c>
      <c r="J22" s="32" t="s">
        <v>82</v>
      </c>
      <c r="K22" s="1">
        <v>3809</v>
      </c>
      <c r="L22" s="2">
        <v>17473</v>
      </c>
      <c r="M22" s="28" t="s">
        <v>7</v>
      </c>
      <c r="N22" s="31">
        <f>+IF(M22="SI",'19'!$E$36,0)</f>
        <v>19560</v>
      </c>
      <c r="O22" s="30" t="s">
        <v>82</v>
      </c>
      <c r="P22" s="28" t="s">
        <v>7</v>
      </c>
      <c r="Q22" s="31">
        <f>+IF(P22="SI",'19'!$E$49,0)</f>
        <v>6000</v>
      </c>
      <c r="R22" s="28" t="s">
        <v>7</v>
      </c>
      <c r="S22" s="31">
        <f>+IF(R22="SI",'19'!$E$66,0)</f>
        <v>1420</v>
      </c>
      <c r="T22" s="33">
        <f>+'19'!$C$14</f>
        <v>6.608831999999995E-2</v>
      </c>
      <c r="U22" s="28" t="s">
        <v>82</v>
      </c>
      <c r="V22" s="31">
        <f>+IF(U22="SI",'19'!$J$36,0)</f>
        <v>0</v>
      </c>
      <c r="W22" s="29">
        <f>+IF(U22="SI",'19'!$H$14,0)</f>
        <v>0</v>
      </c>
      <c r="X22" s="28" t="s">
        <v>82</v>
      </c>
      <c r="Y22" s="31">
        <f>+IF(X22="SI",'19'!$O$36,0)</f>
        <v>0</v>
      </c>
      <c r="Z22" s="29">
        <f>+IF(X22="SI",'19'!$M$14,0)</f>
        <v>0</v>
      </c>
      <c r="AA22" s="28" t="s">
        <v>82</v>
      </c>
      <c r="AB22" s="31">
        <f>+IF(AA22="SI",'19'!$T$36,0)</f>
        <v>0</v>
      </c>
      <c r="AC22" s="29">
        <f>+IF(AA22="SI",'19'!$R$14,0)</f>
        <v>0</v>
      </c>
      <c r="AD22" s="28" t="s">
        <v>82</v>
      </c>
      <c r="AE22" s="31">
        <f>+IF(AD22="SI",'19'!$Y$36,0)</f>
        <v>0</v>
      </c>
      <c r="AF22" s="29">
        <f>+IF(AD22="SI",'19'!$W$14,0)</f>
        <v>0</v>
      </c>
      <c r="AG22" s="28" t="s">
        <v>82</v>
      </c>
      <c r="AH22" s="31">
        <f>+IF(AG22="SI",'19'!$AD$36,0)</f>
        <v>0</v>
      </c>
      <c r="AI22" s="29">
        <f>+IF(AG22="SI",'19'!$AB$14,0)</f>
        <v>0</v>
      </c>
      <c r="AJ22" s="28" t="s">
        <v>7</v>
      </c>
      <c r="AK22" s="31">
        <f>+IF(AJ22="SI",'19'!$AI$36,0)</f>
        <v>140</v>
      </c>
      <c r="AL22" s="49">
        <f t="shared" si="8"/>
        <v>27120</v>
      </c>
      <c r="AM22" s="52">
        <f t="shared" si="9"/>
        <v>4524.9966880742386</v>
      </c>
      <c r="AN22" s="53">
        <f t="shared" si="10"/>
        <v>2714.9980128445432</v>
      </c>
      <c r="AO22" s="42">
        <f t="shared" si="11"/>
        <v>9.988957587333914</v>
      </c>
      <c r="AP22" s="43">
        <f>+IF('Conto Termico'!AC26&lt;&gt;0,(Riassunto!AL22-'Conto Termico'!AC26)/Riassunto!AN22,"")</f>
        <v>8.0736707343052885</v>
      </c>
      <c r="AQ22" s="52" t="str">
        <f>IF(O22&lt;&gt;"SI","",G22*(#REF!/1000)*$AW$6*(1-((1-T22)*(1-W22)*(1-Z22)*(1-AC22)*(1-AF22)))/$AW$4)</f>
        <v/>
      </c>
      <c r="AR22" s="53" t="str">
        <f t="shared" si="12"/>
        <v/>
      </c>
      <c r="AS22" s="42" t="str">
        <f t="shared" si="13"/>
        <v/>
      </c>
      <c r="AT22" s="44"/>
      <c r="AU22" s="44"/>
      <c r="AV22" s="44"/>
      <c r="AX22" s="131">
        <f t="shared" si="0"/>
        <v>32544</v>
      </c>
      <c r="AY22" s="131">
        <v>37079.269999999997</v>
      </c>
      <c r="AZ22" s="131">
        <f t="shared" si="7"/>
        <v>4535.2699999999968</v>
      </c>
    </row>
    <row r="23" spans="2:52" s="15" customFormat="1" ht="15" customHeight="1" x14ac:dyDescent="0.3">
      <c r="B23" s="218">
        <v>20</v>
      </c>
      <c r="C23" s="3">
        <v>36</v>
      </c>
      <c r="D23" s="132" t="s">
        <v>489</v>
      </c>
      <c r="E23" s="27" t="s">
        <v>384</v>
      </c>
      <c r="F23" s="4" t="s">
        <v>79</v>
      </c>
      <c r="G23" s="2">
        <f>+Consumi!AE22</f>
        <v>64886.843000000001</v>
      </c>
      <c r="H23" s="32" t="s">
        <v>7</v>
      </c>
      <c r="I23" s="4">
        <f>427.7+175</f>
        <v>602.70000000000005</v>
      </c>
      <c r="J23" s="32" t="s">
        <v>82</v>
      </c>
      <c r="K23" s="1">
        <v>2175</v>
      </c>
      <c r="L23" s="2">
        <v>9429.6</v>
      </c>
      <c r="M23" s="28" t="s">
        <v>7</v>
      </c>
      <c r="N23" s="31">
        <f>+IF(M23="SI",'20'!$E$38,0)</f>
        <v>42860</v>
      </c>
      <c r="O23" s="30" t="s">
        <v>82</v>
      </c>
      <c r="P23" s="28" t="s">
        <v>7</v>
      </c>
      <c r="Q23" s="31">
        <f>+IF(P23="SI",'20'!$E$51,0)</f>
        <v>6500</v>
      </c>
      <c r="R23" s="28" t="s">
        <v>7</v>
      </c>
      <c r="S23" s="31">
        <f>+IF(R23="SI",'20'!$E$68,0)</f>
        <v>2530</v>
      </c>
      <c r="T23" s="33">
        <f>+'20'!$C$14</f>
        <v>0.18686304000000009</v>
      </c>
      <c r="U23" s="28" t="s">
        <v>82</v>
      </c>
      <c r="V23" s="31">
        <f>+IF(U23="SI",'20'!$J$38,0)</f>
        <v>0</v>
      </c>
      <c r="W23" s="29">
        <f>+IF(U23="SI",'20'!$H$14,0)</f>
        <v>0</v>
      </c>
      <c r="X23" s="28" t="s">
        <v>82</v>
      </c>
      <c r="Y23" s="31">
        <f>+IF(X23="SI",'20'!$O$38,0)</f>
        <v>0</v>
      </c>
      <c r="Z23" s="29">
        <f>+IF(X23="SI",'20'!$M$14,0)</f>
        <v>0</v>
      </c>
      <c r="AA23" s="28" t="s">
        <v>82</v>
      </c>
      <c r="AB23" s="31">
        <f>+IF(AA23="SI",'20'!$T$38,0)</f>
        <v>0</v>
      </c>
      <c r="AC23" s="29">
        <f>+IF(AA23="SI",'20'!$R$14,0)</f>
        <v>0</v>
      </c>
      <c r="AD23" s="28" t="s">
        <v>82</v>
      </c>
      <c r="AE23" s="31">
        <f>+IF(AD23="SI",'20'!$Y$38,0)</f>
        <v>0</v>
      </c>
      <c r="AF23" s="29">
        <f>+IF(AD23="SI",'20'!$W$14,0)</f>
        <v>0</v>
      </c>
      <c r="AG23" s="28" t="s">
        <v>82</v>
      </c>
      <c r="AH23" s="31">
        <f>+IF(AG23="SI",'20'!$AD$38,0)</f>
        <v>0</v>
      </c>
      <c r="AI23" s="29">
        <f>+IF(AG23="SI",'20'!$AB$14,0)</f>
        <v>0</v>
      </c>
      <c r="AJ23" s="28" t="s">
        <v>7</v>
      </c>
      <c r="AK23" s="31">
        <f>+IF(AJ23="SI",'20'!$AI$38,0)</f>
        <v>110</v>
      </c>
      <c r="AL23" s="49">
        <f t="shared" si="8"/>
        <v>52000</v>
      </c>
      <c r="AM23" s="52">
        <f t="shared" si="9"/>
        <v>12124.952738982725</v>
      </c>
      <c r="AN23" s="53">
        <f t="shared" si="10"/>
        <v>7274.9716433896347</v>
      </c>
      <c r="AO23" s="42">
        <f t="shared" si="11"/>
        <v>7.1477941838095731</v>
      </c>
      <c r="AP23" s="43">
        <f>+IF('Conto Termico'!AC27&lt;&gt;0,(Riassunto!AL23-'Conto Termico'!AC27)/Riassunto!AN23,"")</f>
        <v>4.2947246438258899</v>
      </c>
      <c r="AQ23" s="52" t="str">
        <f>IF(O23&lt;&gt;"SI","",G23*(#REF!/1000)*$AW$6*(1-((1-T23)*(1-W23)*(1-Z23)*(1-AC23)*(1-AF23)))/$AW$4)</f>
        <v/>
      </c>
      <c r="AR23" s="53" t="str">
        <f t="shared" si="12"/>
        <v/>
      </c>
      <c r="AS23" s="42" t="str">
        <f t="shared" si="13"/>
        <v/>
      </c>
      <c r="AT23" s="44"/>
      <c r="AU23" s="44"/>
      <c r="AV23" s="44"/>
      <c r="AX23" s="131">
        <f t="shared" si="0"/>
        <v>62400</v>
      </c>
      <c r="AY23" s="131">
        <v>68923.73</v>
      </c>
      <c r="AZ23" s="131">
        <f t="shared" si="7"/>
        <v>6523.7299999999959</v>
      </c>
    </row>
    <row r="24" spans="2:52" s="15" customFormat="1" ht="15.6" x14ac:dyDescent="0.3">
      <c r="B24" s="218">
        <v>21</v>
      </c>
      <c r="C24" s="3">
        <v>39</v>
      </c>
      <c r="D24" s="132" t="s">
        <v>161</v>
      </c>
      <c r="E24" s="27" t="s">
        <v>361</v>
      </c>
      <c r="F24" s="4" t="s">
        <v>79</v>
      </c>
      <c r="G24" s="2">
        <f>+Consumi!AE23</f>
        <v>300.048</v>
      </c>
      <c r="H24" s="32" t="s">
        <v>7</v>
      </c>
      <c r="I24" s="4">
        <v>24</v>
      </c>
      <c r="J24" s="32" t="s">
        <v>82</v>
      </c>
      <c r="K24" s="1">
        <v>189.7</v>
      </c>
      <c r="L24" s="2">
        <v>699.5</v>
      </c>
      <c r="M24" s="28" t="s">
        <v>82</v>
      </c>
      <c r="N24" s="31">
        <f>+IF(M24="SI",'21'!$E$36,0)</f>
        <v>0</v>
      </c>
      <c r="O24" s="30" t="s">
        <v>82</v>
      </c>
      <c r="P24" s="28" t="s">
        <v>82</v>
      </c>
      <c r="Q24" s="31">
        <f>+IF(P24="SI",'21'!$E$49,0)</f>
        <v>0</v>
      </c>
      <c r="R24" s="28" t="s">
        <v>82</v>
      </c>
      <c r="S24" s="31">
        <f>+IF(R24="SI",'21'!$E$66,0)</f>
        <v>0</v>
      </c>
      <c r="T24" s="33">
        <f>+'21'!$C$14</f>
        <v>0</v>
      </c>
      <c r="U24" s="28" t="s">
        <v>82</v>
      </c>
      <c r="V24" s="31">
        <f>+IF(U24="SI",'21'!$J$36,0)</f>
        <v>0</v>
      </c>
      <c r="W24" s="29">
        <f>+IF(U24="SI",'21'!$H$14,0)</f>
        <v>0</v>
      </c>
      <c r="X24" s="28" t="s">
        <v>82</v>
      </c>
      <c r="Y24" s="31">
        <f>+IF(X24="SI",'21'!$O$36,0)</f>
        <v>0</v>
      </c>
      <c r="Z24" s="29">
        <f>+IF(X24="SI",'21'!$M$14,0)</f>
        <v>0</v>
      </c>
      <c r="AA24" s="28" t="s">
        <v>82</v>
      </c>
      <c r="AB24" s="31">
        <f>+IF(AA24="SI",'21'!$T$36,0)</f>
        <v>0</v>
      </c>
      <c r="AC24" s="29">
        <f>+IF(AA24="SI",'21'!$R$14,0)</f>
        <v>0</v>
      </c>
      <c r="AD24" s="28" t="s">
        <v>82</v>
      </c>
      <c r="AE24" s="31">
        <f>+IF(AD24="SI",'21'!$Y$36,0)</f>
        <v>0</v>
      </c>
      <c r="AF24" s="29">
        <f>+IF(AD24="SI",'21'!$W$14,0)</f>
        <v>0</v>
      </c>
      <c r="AG24" s="28" t="s">
        <v>82</v>
      </c>
      <c r="AH24" s="31">
        <f>+IF(AG24="SI",'21'!$AD$36,0)</f>
        <v>0</v>
      </c>
      <c r="AI24" s="29">
        <f>+IF(AG24="SI",'21'!$AB$14,0)</f>
        <v>0</v>
      </c>
      <c r="AJ24" s="28" t="s">
        <v>82</v>
      </c>
      <c r="AK24" s="31">
        <f>+IF(AJ24="SI",'21'!$AI$36,0)</f>
        <v>0</v>
      </c>
      <c r="AL24" s="49">
        <f t="shared" si="8"/>
        <v>0</v>
      </c>
      <c r="AM24" s="52">
        <f t="shared" si="9"/>
        <v>0</v>
      </c>
      <c r="AN24" s="53">
        <f t="shared" si="10"/>
        <v>0</v>
      </c>
      <c r="AO24" s="42" t="str">
        <f t="shared" si="11"/>
        <v/>
      </c>
      <c r="AP24" s="43" t="str">
        <f>+IF('Conto Termico'!AC28&lt;&gt;0,(Riassunto!AL24-'Conto Termico'!AC28)/Riassunto!AN24,"")</f>
        <v/>
      </c>
      <c r="AQ24" s="52" t="str">
        <f>IF(O24&lt;&gt;"SI","",G24*(#REF!/1000)*$AW$6*(1-((1-T24)*(1-W24)*(1-Z24)*(1-AC24)*(1-AF24)))/$AW$4)</f>
        <v/>
      </c>
      <c r="AR24" s="53" t="str">
        <f t="shared" si="12"/>
        <v/>
      </c>
      <c r="AS24" s="42" t="str">
        <f t="shared" si="13"/>
        <v/>
      </c>
      <c r="AT24" s="44"/>
      <c r="AU24" s="44"/>
      <c r="AV24" s="44"/>
      <c r="AX24" s="131">
        <f t="shared" si="0"/>
        <v>0</v>
      </c>
      <c r="AY24" s="131">
        <v>0</v>
      </c>
      <c r="AZ24" s="131">
        <f t="shared" si="7"/>
        <v>0</v>
      </c>
    </row>
    <row r="25" spans="2:52" s="15" customFormat="1" ht="15.6" x14ac:dyDescent="0.3">
      <c r="B25" s="218">
        <v>22</v>
      </c>
      <c r="C25" s="237">
        <v>39</v>
      </c>
      <c r="D25" s="132" t="s">
        <v>162</v>
      </c>
      <c r="E25" s="27" t="s">
        <v>361</v>
      </c>
      <c r="F25" s="4" t="s">
        <v>79</v>
      </c>
      <c r="G25" s="2">
        <f>+Consumi!AE24</f>
        <v>20324.527999999998</v>
      </c>
      <c r="H25" s="32" t="s">
        <v>7</v>
      </c>
      <c r="I25" s="4">
        <v>258.10000000000002</v>
      </c>
      <c r="J25" s="32" t="s">
        <v>82</v>
      </c>
      <c r="K25" s="1">
        <v>926.64</v>
      </c>
      <c r="L25" s="2">
        <v>3534.36</v>
      </c>
      <c r="M25" s="28" t="s">
        <v>82</v>
      </c>
      <c r="N25" s="31">
        <f>+IF(M25="SI",'22'!$E$36,0)</f>
        <v>0</v>
      </c>
      <c r="O25" s="30" t="s">
        <v>82</v>
      </c>
      <c r="P25" s="257" t="s">
        <v>82</v>
      </c>
      <c r="Q25" s="258">
        <f>+IF(P25="SI",'22'!$E$49,0)</f>
        <v>0</v>
      </c>
      <c r="R25" s="28" t="s">
        <v>7</v>
      </c>
      <c r="S25" s="31">
        <f>+IF(R25="SI",'22'!$E$66,0)</f>
        <v>2990</v>
      </c>
      <c r="T25" s="33">
        <f>+'22'!C14</f>
        <v>4.9561599999999997E-2</v>
      </c>
      <c r="U25" s="28" t="s">
        <v>82</v>
      </c>
      <c r="V25" s="31">
        <f>+IF(U25="SI",'22'!$J$36,0)</f>
        <v>0</v>
      </c>
      <c r="W25" s="29">
        <f>+IF(U25="SI",'22'!$H$14,0)</f>
        <v>0</v>
      </c>
      <c r="X25" s="28" t="s">
        <v>7</v>
      </c>
      <c r="Y25" s="31">
        <f>+IF(X25="SI",'22'!$O$36,0)</f>
        <v>22200</v>
      </c>
      <c r="Z25" s="29">
        <f>+IF(X25="SI",'22'!$M$14,0)</f>
        <v>0.18200000000000002</v>
      </c>
      <c r="AA25" s="28" t="s">
        <v>82</v>
      </c>
      <c r="AB25" s="31">
        <f>+IF(AA25="SI",'22'!$T$36,0)</f>
        <v>0</v>
      </c>
      <c r="AC25" s="29">
        <f>+IF(AA25="SI",'22'!$R$14,0)</f>
        <v>0</v>
      </c>
      <c r="AD25" s="28" t="s">
        <v>82</v>
      </c>
      <c r="AE25" s="31">
        <f>+IF(AD25="SI",'22'!$Y$36,0)</f>
        <v>0</v>
      </c>
      <c r="AF25" s="29">
        <f>+IF(AD25="SI",'22'!$W$14,0)</f>
        <v>0</v>
      </c>
      <c r="AG25" s="28" t="s">
        <v>82</v>
      </c>
      <c r="AH25" s="31">
        <f>+IF(AG25="SI",'22'!$AD$36,0)</f>
        <v>0</v>
      </c>
      <c r="AI25" s="29">
        <f>+IF(AG25="SI",'22'!$AB$14,0)</f>
        <v>0</v>
      </c>
      <c r="AJ25" s="28" t="s">
        <v>7</v>
      </c>
      <c r="AK25" s="31">
        <f>+IF(AJ25="SI",'22'!$AI$36,0)</f>
        <v>1760</v>
      </c>
      <c r="AL25" s="49">
        <f t="shared" si="8"/>
        <v>26950</v>
      </c>
      <c r="AM25" s="52">
        <f t="shared" si="9"/>
        <v>4523.0486878244874</v>
      </c>
      <c r="AN25" s="53">
        <f t="shared" si="10"/>
        <v>2713.8292126946922</v>
      </c>
      <c r="AO25" s="42">
        <f t="shared" si="11"/>
        <v>9.9306175473142773</v>
      </c>
      <c r="AP25" s="43">
        <f>+IF('Conto Termico'!AC29&lt;&gt;0,(Riassunto!AL25-'Conto Termico'!AC29)/Riassunto!AN25,"")</f>
        <v>5.840455960108768</v>
      </c>
      <c r="AQ25" s="52" t="str">
        <f>IF(O25&lt;&gt;"SI","",G25*(#REF!/1000)*$AW$6*(1-((1-T25)*(1-W25)*(1-Z25)*(1-AC25)*(1-AF25)))/$AW$4)</f>
        <v/>
      </c>
      <c r="AR25" s="53" t="str">
        <f t="shared" si="12"/>
        <v/>
      </c>
      <c r="AS25" s="42" t="str">
        <f t="shared" si="13"/>
        <v/>
      </c>
      <c r="AT25" s="44"/>
      <c r="AU25" s="44"/>
      <c r="AV25" s="44"/>
      <c r="AX25" s="131">
        <f t="shared" si="0"/>
        <v>32340</v>
      </c>
      <c r="AY25" s="131">
        <v>25414.03</v>
      </c>
      <c r="AZ25" s="131">
        <f t="shared" si="7"/>
        <v>-6925.9700000000012</v>
      </c>
    </row>
    <row r="26" spans="2:52" s="15" customFormat="1" ht="15.6" x14ac:dyDescent="0.3">
      <c r="B26" s="218">
        <v>23</v>
      </c>
      <c r="C26" s="3">
        <v>46</v>
      </c>
      <c r="D26" s="132" t="s">
        <v>163</v>
      </c>
      <c r="E26" s="27" t="s">
        <v>383</v>
      </c>
      <c r="F26" s="4" t="s">
        <v>79</v>
      </c>
      <c r="G26" s="2">
        <f>+Consumi!AE25</f>
        <v>2572.752</v>
      </c>
      <c r="H26" s="32" t="s">
        <v>7</v>
      </c>
      <c r="I26" s="4">
        <v>25</v>
      </c>
      <c r="J26" s="32" t="s">
        <v>82</v>
      </c>
      <c r="K26" s="1">
        <v>218</v>
      </c>
      <c r="L26" s="2">
        <v>1079</v>
      </c>
      <c r="M26" s="28" t="s">
        <v>82</v>
      </c>
      <c r="N26" s="31">
        <f>+IF(M26="SI",'23'!$E$36,0)</f>
        <v>0</v>
      </c>
      <c r="O26" s="30" t="s">
        <v>82</v>
      </c>
      <c r="P26" s="28" t="s">
        <v>82</v>
      </c>
      <c r="Q26" s="31">
        <f>+IF(P26="SI",'23'!$E$49,0)</f>
        <v>0</v>
      </c>
      <c r="R26" s="28" t="s">
        <v>7</v>
      </c>
      <c r="S26" s="31">
        <f>+IF(R26="SI",'23'!$E$66,0)</f>
        <v>780</v>
      </c>
      <c r="T26" s="33">
        <f>+'23'!$C$14</f>
        <v>0.02</v>
      </c>
      <c r="U26" s="28" t="s">
        <v>82</v>
      </c>
      <c r="V26" s="31">
        <f>+IF(U26="SI",'23'!$J$36,0)</f>
        <v>0</v>
      </c>
      <c r="W26" s="29">
        <f>+IF(U26="SI",'23'!$H$14,0)</f>
        <v>0</v>
      </c>
      <c r="X26" s="28" t="s">
        <v>82</v>
      </c>
      <c r="Y26" s="31">
        <f>+IF(X26="SI",'23'!$O$36,0)</f>
        <v>0</v>
      </c>
      <c r="Z26" s="29">
        <f>+IF(X26="SI",'23'!$M$14,0)</f>
        <v>0</v>
      </c>
      <c r="AA26" s="28" t="s">
        <v>82</v>
      </c>
      <c r="AB26" s="31">
        <f>+IF(AA26="SI",'23'!$T$36,0)</f>
        <v>0</v>
      </c>
      <c r="AC26" s="29">
        <f>+IF(AA26="SI",'23'!$R$14,0)</f>
        <v>0</v>
      </c>
      <c r="AD26" s="28" t="s">
        <v>82</v>
      </c>
      <c r="AE26" s="31">
        <f>+IF(AD26="SI",'23'!$Y$36,0)</f>
        <v>0</v>
      </c>
      <c r="AF26" s="29">
        <f>+IF(AD26="SI",'23'!$W$14,0)</f>
        <v>0</v>
      </c>
      <c r="AG26" s="28" t="s">
        <v>82</v>
      </c>
      <c r="AH26" s="31">
        <f>+IF(AG26="SI",'23'!$AD$36,0)</f>
        <v>0</v>
      </c>
      <c r="AI26" s="29">
        <f>+IF(AG26="SI",'23'!$AB$14,0)</f>
        <v>0</v>
      </c>
      <c r="AJ26" s="28" t="s">
        <v>82</v>
      </c>
      <c r="AK26" s="31">
        <f>+IF(AJ26="SI",'23'!$AI$36,0)</f>
        <v>0</v>
      </c>
      <c r="AL26" s="49">
        <f t="shared" si="8"/>
        <v>780</v>
      </c>
      <c r="AM26" s="52">
        <f t="shared" si="9"/>
        <v>51.455040000000047</v>
      </c>
      <c r="AN26" s="53">
        <f t="shared" si="10"/>
        <v>30.873024000000026</v>
      </c>
      <c r="AO26" s="42">
        <f t="shared" si="11"/>
        <v>25.264774840326602</v>
      </c>
      <c r="AP26" s="43" t="str">
        <f>+IF('Conto Termico'!AC30&lt;&gt;0,(Riassunto!AL26-'Conto Termico'!AC30)/Riassunto!AN26,"")</f>
        <v/>
      </c>
      <c r="AQ26" s="52" t="str">
        <f>IF(O26&lt;&gt;"SI","",G26*(#REF!/1000)*$AW$6*(1-((1-T26)*(1-W26)*(1-Z26)*(1-AC26)*(1-AF26)))/$AW$4)</f>
        <v/>
      </c>
      <c r="AR26" s="53" t="str">
        <f t="shared" si="12"/>
        <v/>
      </c>
      <c r="AS26" s="42" t="str">
        <f t="shared" si="13"/>
        <v/>
      </c>
      <c r="AT26" s="44"/>
      <c r="AU26" s="44"/>
      <c r="AV26" s="44"/>
      <c r="AX26" s="131">
        <f t="shared" si="0"/>
        <v>936</v>
      </c>
      <c r="AY26" s="131">
        <v>924.14</v>
      </c>
      <c r="AZ26" s="131">
        <f t="shared" si="7"/>
        <v>-11.860000000000014</v>
      </c>
    </row>
    <row r="27" spans="2:52" s="15" customFormat="1" ht="15.6" x14ac:dyDescent="0.3">
      <c r="B27" s="218">
        <v>24</v>
      </c>
      <c r="C27" s="237">
        <v>48</v>
      </c>
      <c r="D27" s="132" t="s">
        <v>164</v>
      </c>
      <c r="E27" s="27" t="s">
        <v>419</v>
      </c>
      <c r="F27" s="4" t="s">
        <v>79</v>
      </c>
      <c r="G27" s="2">
        <f>+Consumi!AE26</f>
        <v>43479.828000000001</v>
      </c>
      <c r="H27" s="32" t="s">
        <v>7</v>
      </c>
      <c r="I27" s="4">
        <v>640</v>
      </c>
      <c r="J27" s="32" t="s">
        <v>82</v>
      </c>
      <c r="K27" s="1">
        <v>1982.9</v>
      </c>
      <c r="L27" s="2">
        <v>21060.799999999999</v>
      </c>
      <c r="M27" s="28" t="s">
        <v>82</v>
      </c>
      <c r="N27" s="31">
        <f>+IF(M27="SI",'24'!$E$36,0)</f>
        <v>0</v>
      </c>
      <c r="O27" s="30" t="s">
        <v>82</v>
      </c>
      <c r="P27" s="28" t="s">
        <v>82</v>
      </c>
      <c r="Q27" s="31">
        <f>+IF(P27="SI",'24'!$E$49,0)</f>
        <v>0</v>
      </c>
      <c r="R27" s="28" t="s">
        <v>82</v>
      </c>
      <c r="S27" s="31">
        <f>+IF(R27="SI",'24'!$E$66,0)</f>
        <v>0</v>
      </c>
      <c r="T27" s="33">
        <f>++IF(M5="SI",'24'!$C$14,0)</f>
        <v>0</v>
      </c>
      <c r="U27" s="28" t="s">
        <v>82</v>
      </c>
      <c r="V27" s="31">
        <f>+IF(U27="SI",'24'!$J$36,0)</f>
        <v>0</v>
      </c>
      <c r="W27" s="29">
        <f>+IF(U27="SI",'24'!$H$14,0)</f>
        <v>0</v>
      </c>
      <c r="X27" s="28" t="s">
        <v>82</v>
      </c>
      <c r="Y27" s="31">
        <f>+IF(X27="SI",'24'!$O$36,0)</f>
        <v>0</v>
      </c>
      <c r="Z27" s="29">
        <f>+IF(X27="SI",'24'!$M$14,0)</f>
        <v>0</v>
      </c>
      <c r="AA27" s="28" t="s">
        <v>82</v>
      </c>
      <c r="AB27" s="31">
        <f>+IF(AA27="SI",'24'!$T$36,0)</f>
        <v>0</v>
      </c>
      <c r="AC27" s="29">
        <f>+IF(AA27="SI",'24'!$R$14,0)</f>
        <v>0</v>
      </c>
      <c r="AD27" s="28" t="s">
        <v>82</v>
      </c>
      <c r="AE27" s="31">
        <f>+IF(AD27="SI",'24'!$Y$36,0)</f>
        <v>0</v>
      </c>
      <c r="AF27" s="29">
        <f>+IF(AD27="SI",'24'!$W$14,0)</f>
        <v>0</v>
      </c>
      <c r="AG27" s="28" t="s">
        <v>82</v>
      </c>
      <c r="AH27" s="31">
        <f>+IF(AG27="SI",'24'!$AD$36,0)</f>
        <v>0</v>
      </c>
      <c r="AI27" s="29">
        <f>+IF(AG27="SI",'24'!$AB$14,0)</f>
        <v>0</v>
      </c>
      <c r="AJ27" s="28" t="s">
        <v>7</v>
      </c>
      <c r="AK27" s="31">
        <f>+IF(AJ27="SI",'24'!$AI$36,0)</f>
        <v>130</v>
      </c>
      <c r="AL27" s="49">
        <f t="shared" si="8"/>
        <v>130</v>
      </c>
      <c r="AM27" s="52">
        <f t="shared" si="9"/>
        <v>0</v>
      </c>
      <c r="AN27" s="53">
        <f t="shared" si="10"/>
        <v>0</v>
      </c>
      <c r="AO27" s="42" t="str">
        <f t="shared" si="11"/>
        <v/>
      </c>
      <c r="AP27" s="43"/>
      <c r="AQ27" s="52" t="str">
        <f>IF(O27&lt;&gt;"SI","",G27*(#REF!/1000)*$AW$6*(1-((1-T27)*(1-W27)*(1-Z27)*(1-AC27)*(1-AF27)))/$AW$4)</f>
        <v/>
      </c>
      <c r="AR27" s="53" t="str">
        <f t="shared" si="12"/>
        <v/>
      </c>
      <c r="AS27" s="42" t="str">
        <f t="shared" si="13"/>
        <v/>
      </c>
      <c r="AT27" s="44"/>
      <c r="AU27" s="44"/>
      <c r="AV27" s="44"/>
      <c r="AX27" s="131">
        <f t="shared" si="0"/>
        <v>156</v>
      </c>
      <c r="AY27" s="131">
        <v>274.45999999999998</v>
      </c>
      <c r="AZ27" s="131">
        <f t="shared" si="7"/>
        <v>118.45999999999998</v>
      </c>
    </row>
    <row r="28" spans="2:52" s="15" customFormat="1" ht="15.6" x14ac:dyDescent="0.3">
      <c r="B28" s="218">
        <v>25</v>
      </c>
      <c r="C28" s="3">
        <v>49</v>
      </c>
      <c r="D28" s="132" t="s">
        <v>165</v>
      </c>
      <c r="E28" s="27" t="s">
        <v>416</v>
      </c>
      <c r="F28" s="4" t="s">
        <v>79</v>
      </c>
      <c r="G28" s="2">
        <f>+Consumi!AE27</f>
        <v>5316.8080000000009</v>
      </c>
      <c r="H28" s="32" t="s">
        <v>7</v>
      </c>
      <c r="I28" s="4">
        <f>26+25.8</f>
        <v>51.8</v>
      </c>
      <c r="J28" s="32" t="s">
        <v>82</v>
      </c>
      <c r="K28" s="1">
        <v>242.7</v>
      </c>
      <c r="L28" s="2">
        <v>984.7</v>
      </c>
      <c r="M28" s="28" t="s">
        <v>82</v>
      </c>
      <c r="N28" s="31">
        <f>+IF(M28="SI",'25'!$E$36,0)</f>
        <v>0</v>
      </c>
      <c r="O28" s="30" t="s">
        <v>82</v>
      </c>
      <c r="P28" s="28" t="s">
        <v>82</v>
      </c>
      <c r="Q28" s="31">
        <f>+IF(P28="SI",'25'!$E$49,0)</f>
        <v>0</v>
      </c>
      <c r="R28" s="28" t="s">
        <v>7</v>
      </c>
      <c r="S28" s="31">
        <f>+IF(R28="SI",'25'!$E$66,0)</f>
        <v>1320</v>
      </c>
      <c r="T28" s="33">
        <f>+'25'!$C$14</f>
        <v>0.02</v>
      </c>
      <c r="U28" s="28" t="s">
        <v>82</v>
      </c>
      <c r="V28" s="31">
        <f>+IF(U28="SI",'25'!$J$36,0)</f>
        <v>0</v>
      </c>
      <c r="W28" s="29">
        <f>+IF(U28="SI",'25'!$H$14,0)</f>
        <v>0</v>
      </c>
      <c r="X28" s="28" t="s">
        <v>7</v>
      </c>
      <c r="Y28" s="31">
        <f>+IF(X28="SI",'25'!$O$36,0)</f>
        <v>6520</v>
      </c>
      <c r="Z28" s="29">
        <f>+IF(X28="SI",'25'!$M$14,0)</f>
        <v>0.21233333333333329</v>
      </c>
      <c r="AA28" s="28" t="s">
        <v>82</v>
      </c>
      <c r="AB28" s="31">
        <f>+IF(AA28="SI",'25'!$T$36,0)</f>
        <v>0</v>
      </c>
      <c r="AC28" s="29">
        <f>+IF(AA28="SI",'25'!$R$14,0)</f>
        <v>0</v>
      </c>
      <c r="AD28" s="28" t="s">
        <v>82</v>
      </c>
      <c r="AE28" s="31">
        <f>+IF(AD28="SI",'25'!$Y$36,0)</f>
        <v>0</v>
      </c>
      <c r="AF28" s="29">
        <f>+IF(AD28="SI",'25'!$W$14,0)</f>
        <v>0</v>
      </c>
      <c r="AG28" s="28" t="s">
        <v>82</v>
      </c>
      <c r="AH28" s="31">
        <f>+IF(AG28="SI",'25'!$AD$36,0)</f>
        <v>0</v>
      </c>
      <c r="AI28" s="29">
        <f>+IF(AG28="SI",'25'!$AB$14,0)</f>
        <v>0</v>
      </c>
      <c r="AJ28" s="28" t="s">
        <v>82</v>
      </c>
      <c r="AK28" s="31">
        <f>+IF(AJ28="SI",'25'!$AI$36,0)</f>
        <v>0</v>
      </c>
      <c r="AL28" s="49">
        <f t="shared" si="8"/>
        <v>7840</v>
      </c>
      <c r="AM28" s="52">
        <f t="shared" si="9"/>
        <v>1212.6930140266668</v>
      </c>
      <c r="AN28" s="53">
        <f t="shared" si="10"/>
        <v>727.61580841600005</v>
      </c>
      <c r="AO28" s="42">
        <f t="shared" si="11"/>
        <v>10.77491707755425</v>
      </c>
      <c r="AP28" s="43">
        <f>+IF('Conto Termico'!AC32&lt;&gt;0,(Riassunto!AL28-'Conto Termico'!AC32)/Riassunto!AN28,"")</f>
        <v>6.2945306396936811</v>
      </c>
      <c r="AQ28" s="52" t="str">
        <f>IF(O28&lt;&gt;"SI","",G28*(#REF!/1000)*$AW$6*(1-((1-T28)*(1-W28)*(1-Z28)*(1-AC28)*(1-AF28)))/$AW$4)</f>
        <v/>
      </c>
      <c r="AR28" s="53" t="str">
        <f t="shared" si="12"/>
        <v/>
      </c>
      <c r="AS28" s="42" t="str">
        <f t="shared" si="13"/>
        <v/>
      </c>
      <c r="AT28" s="44"/>
      <c r="AU28" s="44"/>
      <c r="AV28" s="44"/>
      <c r="AX28" s="131">
        <f t="shared" si="0"/>
        <v>9408</v>
      </c>
      <c r="AY28" s="131">
        <v>7953.62</v>
      </c>
      <c r="AZ28" s="131">
        <f t="shared" si="7"/>
        <v>-1454.38</v>
      </c>
    </row>
    <row r="29" spans="2:52" s="15" customFormat="1" ht="15.6" x14ac:dyDescent="0.3">
      <c r="B29" s="218">
        <v>26</v>
      </c>
      <c r="C29" s="3">
        <v>50</v>
      </c>
      <c r="D29" s="132" t="s">
        <v>166</v>
      </c>
      <c r="E29" s="27" t="s">
        <v>417</v>
      </c>
      <c r="F29" s="4" t="s">
        <v>79</v>
      </c>
      <c r="G29" s="2">
        <f>+Consumi!AE28</f>
        <v>587.32799999999997</v>
      </c>
      <c r="H29" s="32" t="s">
        <v>7</v>
      </c>
      <c r="I29" s="4">
        <v>23</v>
      </c>
      <c r="J29" s="32" t="s">
        <v>82</v>
      </c>
      <c r="K29" s="1">
        <v>127.4</v>
      </c>
      <c r="L29" s="2">
        <v>570</v>
      </c>
      <c r="M29" s="28" t="s">
        <v>82</v>
      </c>
      <c r="N29" s="31">
        <f>+IF(M29="SI",'26'!$E$36,0)</f>
        <v>0</v>
      </c>
      <c r="O29" s="30" t="s">
        <v>82</v>
      </c>
      <c r="P29" s="28" t="s">
        <v>82</v>
      </c>
      <c r="Q29" s="31">
        <f>+IF(P29="SI",'26'!$E$49,0)</f>
        <v>0</v>
      </c>
      <c r="R29" s="28" t="s">
        <v>82</v>
      </c>
      <c r="S29" s="31">
        <f>+IF(R29="SI",'26'!$E$66,0)</f>
        <v>0</v>
      </c>
      <c r="T29" s="33">
        <f>+'26'!$C$14</f>
        <v>0</v>
      </c>
      <c r="U29" s="28" t="s">
        <v>82</v>
      </c>
      <c r="V29" s="31">
        <f>+IF(U29="SI",'26'!$J$36,0)</f>
        <v>0</v>
      </c>
      <c r="W29" s="29">
        <f>+IF(U29="SI",'26'!$H$14,0)</f>
        <v>0</v>
      </c>
      <c r="X29" s="28" t="s">
        <v>82</v>
      </c>
      <c r="Y29" s="31">
        <f>+IF(X29="SI",'26'!$O$36,0)</f>
        <v>0</v>
      </c>
      <c r="Z29" s="29">
        <f>+IF(X29="SI",'26'!$M$14,0)</f>
        <v>0</v>
      </c>
      <c r="AA29" s="28" t="s">
        <v>82</v>
      </c>
      <c r="AB29" s="31">
        <f>+IF(AA29="SI",'26'!$T$36,0)</f>
        <v>0</v>
      </c>
      <c r="AC29" s="29">
        <f>+IF(AA29="SI",'26'!$R$14,0)</f>
        <v>0</v>
      </c>
      <c r="AD29" s="28" t="s">
        <v>82</v>
      </c>
      <c r="AE29" s="31">
        <f>+IF(AD29="SI",'26'!$Y$36,0)</f>
        <v>0</v>
      </c>
      <c r="AF29" s="29">
        <f>+IF(AD29="SI",'26'!$W$14,0)</f>
        <v>0</v>
      </c>
      <c r="AG29" s="28" t="s">
        <v>82</v>
      </c>
      <c r="AH29" s="31">
        <f>+IF(AG29="SI",'26'!$AD$36,0)</f>
        <v>0</v>
      </c>
      <c r="AI29" s="29">
        <f>+IF(AG29="SI",'26'!$AB$14,0)</f>
        <v>0</v>
      </c>
      <c r="AJ29" s="28" t="s">
        <v>82</v>
      </c>
      <c r="AK29" s="31">
        <f>+IF(AJ29="SI",'26'!$AI$36,0)</f>
        <v>0</v>
      </c>
      <c r="AL29" s="49">
        <f t="shared" si="8"/>
        <v>0</v>
      </c>
      <c r="AM29" s="52">
        <f t="shared" si="9"/>
        <v>0</v>
      </c>
      <c r="AN29" s="53">
        <f t="shared" si="10"/>
        <v>0</v>
      </c>
      <c r="AO29" s="42" t="str">
        <f t="shared" si="11"/>
        <v/>
      </c>
      <c r="AP29" s="43" t="str">
        <f>+IF('Conto Termico'!AC33&lt;&gt;0,(Riassunto!AL29-'Conto Termico'!AC33)/Riassunto!AN29,"")</f>
        <v/>
      </c>
      <c r="AQ29" s="52" t="str">
        <f>IF(O29&lt;&gt;"SI","",G29*(#REF!/1000)*$AW$6*(1-((1-T29)*(1-W29)*(1-Z29)*(1-AC29)*(1-AF29)))/$AW$4)</f>
        <v/>
      </c>
      <c r="AR29" s="53" t="str">
        <f t="shared" si="12"/>
        <v/>
      </c>
      <c r="AS29" s="42" t="str">
        <f t="shared" si="13"/>
        <v/>
      </c>
      <c r="AT29" s="44"/>
      <c r="AU29" s="44"/>
      <c r="AV29" s="44"/>
      <c r="AX29" s="131">
        <f t="shared" si="0"/>
        <v>0</v>
      </c>
      <c r="AY29" s="131"/>
      <c r="AZ29" s="131">
        <f t="shared" si="7"/>
        <v>0</v>
      </c>
    </row>
    <row r="30" spans="2:52" s="15" customFormat="1" ht="15.6" x14ac:dyDescent="0.3">
      <c r="B30" s="218">
        <v>27</v>
      </c>
      <c r="C30" s="3">
        <v>52</v>
      </c>
      <c r="D30" s="132" t="s">
        <v>167</v>
      </c>
      <c r="E30" s="27" t="s">
        <v>418</v>
      </c>
      <c r="F30" s="4" t="s">
        <v>79</v>
      </c>
      <c r="G30" s="2">
        <f>+Consumi!AE29</f>
        <v>0</v>
      </c>
      <c r="H30" s="32" t="s">
        <v>7</v>
      </c>
      <c r="I30" s="4">
        <v>34</v>
      </c>
      <c r="J30" s="32" t="s">
        <v>82</v>
      </c>
      <c r="K30" s="1">
        <v>171.5</v>
      </c>
      <c r="L30" s="2">
        <v>1031.5999999999999</v>
      </c>
      <c r="M30" s="28" t="s">
        <v>82</v>
      </c>
      <c r="N30" s="31">
        <f>+IF(M30="SI",'27'!$E$36,0)</f>
        <v>0</v>
      </c>
      <c r="O30" s="30" t="s">
        <v>82</v>
      </c>
      <c r="P30" s="28" t="s">
        <v>82</v>
      </c>
      <c r="Q30" s="31">
        <f>+IF(P30="SI",'27'!$E$49,0)</f>
        <v>0</v>
      </c>
      <c r="R30" s="28" t="s">
        <v>82</v>
      </c>
      <c r="S30" s="31">
        <f>+IF(R30="SI",'26'!$E$66,0)</f>
        <v>0</v>
      </c>
      <c r="T30" s="33">
        <f>+'27'!$C$14</f>
        <v>0</v>
      </c>
      <c r="U30" s="28" t="s">
        <v>82</v>
      </c>
      <c r="V30" s="31">
        <f>+IF(U30="SI",'27'!$J$36,0)</f>
        <v>0</v>
      </c>
      <c r="W30" s="29">
        <f>+IF(U30="SI",'27'!$H$14,0)</f>
        <v>0</v>
      </c>
      <c r="X30" s="28" t="s">
        <v>82</v>
      </c>
      <c r="Y30" s="31">
        <f>+IF(X30="SI",'27'!$O$36,0)</f>
        <v>0</v>
      </c>
      <c r="Z30" s="29">
        <f>+IF(X30="SI",'27'!$M$14,0)</f>
        <v>0</v>
      </c>
      <c r="AA30" s="28" t="s">
        <v>82</v>
      </c>
      <c r="AB30" s="31">
        <f>+IF(AA30="SI",'27'!$T$36,0)</f>
        <v>0</v>
      </c>
      <c r="AC30" s="29">
        <f>+IF(AA30="SI",'27'!$R$14,0)</f>
        <v>0</v>
      </c>
      <c r="AD30" s="28" t="s">
        <v>82</v>
      </c>
      <c r="AE30" s="31">
        <f>+IF(AD30="SI",'27'!$Y$36,0)</f>
        <v>0</v>
      </c>
      <c r="AF30" s="29">
        <f>+IF(AD30="SI",'27'!$W$14,0)</f>
        <v>0</v>
      </c>
      <c r="AG30" s="28" t="s">
        <v>82</v>
      </c>
      <c r="AH30" s="31">
        <f>+IF(AG30="SI",'27'!$AD$36,0)</f>
        <v>0</v>
      </c>
      <c r="AI30" s="29">
        <f>+IF(AG30="SI",'27'!$AB$14,0)</f>
        <v>0</v>
      </c>
      <c r="AJ30" s="28" t="s">
        <v>82</v>
      </c>
      <c r="AK30" s="31">
        <f>+IF(AJ30="SI",'27'!$AI$36,0)</f>
        <v>0</v>
      </c>
      <c r="AL30" s="49">
        <f t="shared" si="8"/>
        <v>0</v>
      </c>
      <c r="AM30" s="52">
        <f t="shared" si="9"/>
        <v>0</v>
      </c>
      <c r="AN30" s="53">
        <f t="shared" si="10"/>
        <v>0</v>
      </c>
      <c r="AO30" s="42" t="str">
        <f t="shared" si="11"/>
        <v/>
      </c>
      <c r="AP30" s="43" t="str">
        <f>+IF('Conto Termico'!AC34&lt;&gt;0,(Riassunto!AL30-'Conto Termico'!AC34)/Riassunto!AN30,"")</f>
        <v/>
      </c>
      <c r="AQ30" s="52" t="str">
        <f>IF(O30&lt;&gt;"SI","",G30*(#REF!/1000)*$AW$6*(1-((1-T30)*(1-W30)*(1-Z30)*(1-AC30)*(1-AF30)))/$AW$4)</f>
        <v/>
      </c>
      <c r="AR30" s="53" t="str">
        <f t="shared" si="12"/>
        <v/>
      </c>
      <c r="AS30" s="42" t="str">
        <f t="shared" si="13"/>
        <v/>
      </c>
      <c r="AT30" s="44"/>
      <c r="AU30" s="44"/>
      <c r="AV30" s="44"/>
      <c r="AX30" s="131">
        <f t="shared" si="0"/>
        <v>0</v>
      </c>
      <c r="AY30" s="131"/>
      <c r="AZ30" s="131">
        <f t="shared" si="7"/>
        <v>0</v>
      </c>
    </row>
    <row r="31" spans="2:52" s="15" customFormat="1" x14ac:dyDescent="0.3">
      <c r="B31" s="218">
        <v>28</v>
      </c>
      <c r="C31" s="3"/>
      <c r="D31" s="97"/>
      <c r="E31" s="27"/>
      <c r="F31" s="4" t="s">
        <v>79</v>
      </c>
      <c r="G31" s="2">
        <f>+Consumi!AE31</f>
        <v>0</v>
      </c>
      <c r="H31" s="32" t="s">
        <v>7</v>
      </c>
      <c r="I31" s="4"/>
      <c r="J31" s="32" t="s">
        <v>82</v>
      </c>
      <c r="K31" s="1"/>
      <c r="L31" s="2"/>
      <c r="M31" s="28" t="s">
        <v>82</v>
      </c>
      <c r="N31" s="31">
        <f>+IF(M31="SI",'28'!$E$36,0)</f>
        <v>0</v>
      </c>
      <c r="O31" s="30" t="s">
        <v>82</v>
      </c>
      <c r="P31" s="28" t="s">
        <v>82</v>
      </c>
      <c r="Q31" s="31">
        <f>+IF(P31="SI",'28'!$E$49,0)</f>
        <v>0</v>
      </c>
      <c r="R31" s="28" t="s">
        <v>82</v>
      </c>
      <c r="S31" s="31">
        <f>+IF(R31="SI",'28'!$E$66,0)</f>
        <v>0</v>
      </c>
      <c r="T31" s="33">
        <f>+'28'!$C$14</f>
        <v>0</v>
      </c>
      <c r="U31" s="28" t="s">
        <v>82</v>
      </c>
      <c r="V31" s="31">
        <f>+IF(U31="SI",'28'!$J$36,0)</f>
        <v>0</v>
      </c>
      <c r="W31" s="29">
        <f>+IF(U31="SI",'28'!$H$14,0)</f>
        <v>0</v>
      </c>
      <c r="X31" s="28" t="s">
        <v>82</v>
      </c>
      <c r="Y31" s="31">
        <f>+IF(X31="SI",'28'!$O$36,0)</f>
        <v>0</v>
      </c>
      <c r="Z31" s="29">
        <f>+IF(X31="SI",'28'!$M$14,0)</f>
        <v>0</v>
      </c>
      <c r="AA31" s="28" t="s">
        <v>82</v>
      </c>
      <c r="AB31" s="31">
        <f>+IF(AA31="SI",'28'!$T$36,0)</f>
        <v>0</v>
      </c>
      <c r="AC31" s="29">
        <f>+IF(AA31="SI",'28'!$R$14,0)</f>
        <v>0</v>
      </c>
      <c r="AD31" s="28" t="s">
        <v>82</v>
      </c>
      <c r="AE31" s="31">
        <f>+IF(AD31="SI",'28'!$Y$36,0)</f>
        <v>0</v>
      </c>
      <c r="AF31" s="29">
        <f>+IF(AD31="SI",'28'!$W$14,0)</f>
        <v>0</v>
      </c>
      <c r="AG31" s="28" t="s">
        <v>82</v>
      </c>
      <c r="AH31" s="31">
        <f>+IF(AG31="SI",'28'!$AD$36,0)</f>
        <v>0</v>
      </c>
      <c r="AI31" s="29">
        <f>+IF(AG31="SI",'28'!$AB$14,0)</f>
        <v>0</v>
      </c>
      <c r="AJ31" s="28" t="s">
        <v>82</v>
      </c>
      <c r="AK31" s="31">
        <f>+IF(AJ31="SI",'28'!$AI$36,0)</f>
        <v>0</v>
      </c>
      <c r="AL31" s="49">
        <f t="shared" si="8"/>
        <v>0</v>
      </c>
      <c r="AM31" s="52">
        <f t="shared" si="9"/>
        <v>0</v>
      </c>
      <c r="AN31" s="53">
        <f t="shared" si="10"/>
        <v>0</v>
      </c>
      <c r="AO31" s="42" t="str">
        <f t="shared" si="11"/>
        <v/>
      </c>
      <c r="AP31" s="43" t="str">
        <f>+IF('Conto Termico'!AC35&lt;&gt;0,(Riassunto!AL31-'Conto Termico'!AC35)/Riassunto!AN31,"")</f>
        <v/>
      </c>
      <c r="AQ31" s="52" t="str">
        <f>IF(O31&lt;&gt;"SI","",G31*(#REF!/1000)*$AW$6*(1-((1-T31)*(1-W31)*(1-Z31)*(1-AC31)*(1-AF31)))/$AW$4)</f>
        <v/>
      </c>
      <c r="AR31" s="53" t="str">
        <f t="shared" si="12"/>
        <v/>
      </c>
      <c r="AS31" s="42" t="str">
        <f t="shared" si="13"/>
        <v/>
      </c>
      <c r="AT31" s="44"/>
      <c r="AU31" s="44"/>
      <c r="AV31" s="44"/>
      <c r="AX31" s="131">
        <f t="shared" si="0"/>
        <v>0</v>
      </c>
      <c r="AY31" s="131"/>
      <c r="AZ31" s="131">
        <f t="shared" si="7"/>
        <v>0</v>
      </c>
    </row>
    <row r="32" spans="2:52" s="15" customFormat="1" x14ac:dyDescent="0.3">
      <c r="B32" s="218">
        <v>29</v>
      </c>
      <c r="C32" s="3"/>
      <c r="D32" s="97"/>
      <c r="E32" s="27"/>
      <c r="F32" s="4" t="s">
        <v>79</v>
      </c>
      <c r="G32" s="2">
        <f>+Consumi!AE32</f>
        <v>0</v>
      </c>
      <c r="H32" s="32" t="s">
        <v>7</v>
      </c>
      <c r="I32" s="4"/>
      <c r="J32" s="32" t="s">
        <v>82</v>
      </c>
      <c r="K32" s="1"/>
      <c r="L32" s="2"/>
      <c r="M32" s="28" t="s">
        <v>82</v>
      </c>
      <c r="N32" s="31">
        <f>+IF(M32="SI",'29'!$E$36,0)</f>
        <v>0</v>
      </c>
      <c r="O32" s="30" t="s">
        <v>82</v>
      </c>
      <c r="P32" s="28" t="s">
        <v>82</v>
      </c>
      <c r="Q32" s="31">
        <f>+IF(P32="SI",'29'!$E$49,0)</f>
        <v>0</v>
      </c>
      <c r="R32" s="28" t="s">
        <v>82</v>
      </c>
      <c r="S32" s="31">
        <f>+IF(R32="SI",'29'!$E$66,0)</f>
        <v>0</v>
      </c>
      <c r="T32" s="33">
        <f>+'29'!$C$14</f>
        <v>0</v>
      </c>
      <c r="U32" s="28" t="s">
        <v>82</v>
      </c>
      <c r="V32" s="31">
        <f>+IF(U32="SI",'29'!$J$36,0)</f>
        <v>0</v>
      </c>
      <c r="W32" s="29">
        <f>+IF(U32="SI",'29'!$H$14,0)</f>
        <v>0</v>
      </c>
      <c r="X32" s="28" t="s">
        <v>82</v>
      </c>
      <c r="Y32" s="31">
        <f>+IF(X32="SI",'29'!$O$36,0)</f>
        <v>0</v>
      </c>
      <c r="Z32" s="29">
        <f>+IF(X32="SI",'29'!$M$14,0)</f>
        <v>0</v>
      </c>
      <c r="AA32" s="28" t="s">
        <v>82</v>
      </c>
      <c r="AB32" s="31">
        <f>+IF(AA32="SI",'29'!$T$36,0)</f>
        <v>0</v>
      </c>
      <c r="AC32" s="29">
        <f>+IF(AA32="SI",'29'!$R$14,0)</f>
        <v>0</v>
      </c>
      <c r="AD32" s="28" t="s">
        <v>82</v>
      </c>
      <c r="AE32" s="31">
        <f>+IF(AD32="SI",'29'!$Y$36,0)</f>
        <v>0</v>
      </c>
      <c r="AF32" s="29">
        <f>+IF(AD32="SI",'29'!$W$14,0)</f>
        <v>0</v>
      </c>
      <c r="AG32" s="28" t="s">
        <v>82</v>
      </c>
      <c r="AH32" s="31">
        <f>+IF(AG32="SI",'29'!$AD$36,0)</f>
        <v>0</v>
      </c>
      <c r="AI32" s="29">
        <f>+IF(AG32="SI",'29'!$AB$14,0)</f>
        <v>0</v>
      </c>
      <c r="AJ32" s="28" t="s">
        <v>82</v>
      </c>
      <c r="AK32" s="31">
        <f>+IF(AJ32="SI",'29'!$AI$36,0)</f>
        <v>0</v>
      </c>
      <c r="AL32" s="49">
        <f t="shared" si="8"/>
        <v>0</v>
      </c>
      <c r="AM32" s="52">
        <f t="shared" si="9"/>
        <v>0</v>
      </c>
      <c r="AN32" s="53">
        <f t="shared" si="10"/>
        <v>0</v>
      </c>
      <c r="AO32" s="42" t="str">
        <f t="shared" si="11"/>
        <v/>
      </c>
      <c r="AP32" s="43" t="str">
        <f>+IF('Conto Termico'!AC36&lt;&gt;0,(Riassunto!AL32-'Conto Termico'!AC36)/Riassunto!AN32,"")</f>
        <v/>
      </c>
      <c r="AQ32" s="52" t="str">
        <f>IF(O32&lt;&gt;"SI","",G32*(#REF!/1000)*$AW$6*(1-((1-T32)*(1-W32)*(1-Z32)*(1-AC32)*(1-AF32)))/$AW$4)</f>
        <v/>
      </c>
      <c r="AR32" s="53" t="str">
        <f t="shared" si="12"/>
        <v/>
      </c>
      <c r="AS32" s="42" t="str">
        <f t="shared" si="13"/>
        <v/>
      </c>
      <c r="AT32" s="44"/>
      <c r="AU32" s="44"/>
      <c r="AV32" s="44"/>
      <c r="AX32" s="131">
        <f t="shared" si="0"/>
        <v>0</v>
      </c>
      <c r="AY32" s="131"/>
      <c r="AZ32" s="131">
        <f t="shared" si="7"/>
        <v>0</v>
      </c>
    </row>
    <row r="33" spans="2:52" s="15" customFormat="1" ht="15" thickBot="1" x14ac:dyDescent="0.35">
      <c r="B33" s="219">
        <v>30</v>
      </c>
      <c r="C33" s="220"/>
      <c r="D33" s="221"/>
      <c r="E33" s="222"/>
      <c r="F33" s="223" t="s">
        <v>79</v>
      </c>
      <c r="G33" s="224">
        <f>+Consumi!AE33</f>
        <v>0</v>
      </c>
      <c r="H33" s="225" t="s">
        <v>7</v>
      </c>
      <c r="I33" s="223"/>
      <c r="J33" s="225" t="s">
        <v>82</v>
      </c>
      <c r="K33" s="226"/>
      <c r="L33" s="224"/>
      <c r="M33" s="227" t="s">
        <v>82</v>
      </c>
      <c r="N33" s="228">
        <f>+IF(M33="SI",'30'!$E$36,0)</f>
        <v>0</v>
      </c>
      <c r="O33" s="229" t="s">
        <v>82</v>
      </c>
      <c r="P33" s="227" t="s">
        <v>82</v>
      </c>
      <c r="Q33" s="228">
        <f>+IF(P33="SI",'30'!$E$49,0)</f>
        <v>0</v>
      </c>
      <c r="R33" s="227" t="s">
        <v>82</v>
      </c>
      <c r="S33" s="228">
        <f>+IF(R33="SI",'30'!$E$66,0)</f>
        <v>0</v>
      </c>
      <c r="T33" s="230">
        <f>+'30'!$C$14</f>
        <v>0</v>
      </c>
      <c r="U33" s="227" t="s">
        <v>82</v>
      </c>
      <c r="V33" s="228">
        <f>+IF(U33="SI",'30'!$J$36,0)</f>
        <v>0</v>
      </c>
      <c r="W33" s="231">
        <f>+IF(U33="SI",'30'!$H$14,0)</f>
        <v>0</v>
      </c>
      <c r="X33" s="227" t="s">
        <v>82</v>
      </c>
      <c r="Y33" s="228">
        <f>+IF(X33="SI",'30'!$O$36,0)</f>
        <v>0</v>
      </c>
      <c r="Z33" s="231">
        <f>+IF(X33="SI",'30'!$M$14,0)</f>
        <v>0</v>
      </c>
      <c r="AA33" s="227" t="s">
        <v>82</v>
      </c>
      <c r="AB33" s="228">
        <f>+IF(AA33="SI",'30'!$T$36,0)</f>
        <v>0</v>
      </c>
      <c r="AC33" s="231">
        <f>+IF(AA33="SI",'30'!$R$14,0)</f>
        <v>0</v>
      </c>
      <c r="AD33" s="227" t="s">
        <v>82</v>
      </c>
      <c r="AE33" s="228">
        <f>+IF(AD33="SI",'30'!$Y$36,0)</f>
        <v>0</v>
      </c>
      <c r="AF33" s="231">
        <f>+IF(AD33="SI",'30'!$W$14,0)</f>
        <v>0</v>
      </c>
      <c r="AG33" s="227" t="s">
        <v>82</v>
      </c>
      <c r="AH33" s="228">
        <f>+IF(AG33="SI",'30'!$AD$36,0)</f>
        <v>0</v>
      </c>
      <c r="AI33" s="231">
        <f>+IF(AG33="SI",'30'!$AB$14,0)</f>
        <v>0</v>
      </c>
      <c r="AJ33" s="227" t="s">
        <v>82</v>
      </c>
      <c r="AK33" s="228">
        <f>+IF(AJ33="SI",'30'!$AI$36,0)</f>
        <v>0</v>
      </c>
      <c r="AL33" s="232">
        <f t="shared" si="8"/>
        <v>0</v>
      </c>
      <c r="AM33" s="233">
        <f t="shared" si="9"/>
        <v>0</v>
      </c>
      <c r="AN33" s="234">
        <f t="shared" si="10"/>
        <v>0</v>
      </c>
      <c r="AO33" s="235" t="str">
        <f t="shared" si="11"/>
        <v/>
      </c>
      <c r="AP33" s="236" t="str">
        <f>+IF('Conto Termico'!AC37&lt;&gt;0,(Riassunto!AL33-'Conto Termico'!AC37)/Riassunto!AN33,"")</f>
        <v/>
      </c>
      <c r="AQ33" s="233" t="str">
        <f>IF(O33&lt;&gt;"SI","",G33*(#REF!/1000)*$AW$6*(1-((1-T33)*(1-W33)*(1-Z33)*(1-AC33)*(1-AF33)))/$AW$4)</f>
        <v/>
      </c>
      <c r="AR33" s="234" t="str">
        <f t="shared" si="12"/>
        <v/>
      </c>
      <c r="AS33" s="235" t="str">
        <f t="shared" si="13"/>
        <v/>
      </c>
      <c r="AT33" s="44"/>
      <c r="AU33" s="44"/>
      <c r="AV33" s="44"/>
      <c r="AX33" s="131">
        <f t="shared" si="0"/>
        <v>0</v>
      </c>
      <c r="AY33" s="131"/>
      <c r="AZ33" s="131">
        <f t="shared" si="7"/>
        <v>0</v>
      </c>
    </row>
    <row r="34" spans="2:52" s="9" customFormat="1" x14ac:dyDescent="0.3">
      <c r="G34" s="48">
        <f>SUM(G4:G33)</f>
        <v>466785.02699999994</v>
      </c>
      <c r="N34" s="26">
        <f>SUM(N4:N33)</f>
        <v>293840</v>
      </c>
      <c r="O34" s="26"/>
      <c r="Q34" s="26">
        <f>SUM(Q4:Q33)</f>
        <v>32800</v>
      </c>
      <c r="S34" s="26">
        <f>SUM(S4:S33)</f>
        <v>46470</v>
      </c>
      <c r="V34" s="26">
        <f>SUM(V4:V33)</f>
        <v>19112.298275000001</v>
      </c>
      <c r="Y34" s="26">
        <f>SUM(Y4:Y33)</f>
        <v>73860</v>
      </c>
      <c r="AB34" s="26">
        <f>SUM(AB4:AB18)</f>
        <v>0</v>
      </c>
      <c r="AE34" s="26">
        <f>SUM(AE4:AE18)</f>
        <v>0</v>
      </c>
      <c r="AH34" s="26">
        <f>SUM(AH4:AH18)</f>
        <v>0</v>
      </c>
      <c r="AK34" s="26">
        <f>SUM(AK4:AK33)</f>
        <v>6940</v>
      </c>
      <c r="AL34" s="120">
        <f>SUM(AL4:AL33)</f>
        <v>473022.29827500001</v>
      </c>
      <c r="AM34" s="48">
        <f>SUM(AM4:AM33)</f>
        <v>66657.545292454117</v>
      </c>
      <c r="AN34" s="46">
        <f>SUM(AN4:AN33)+SUM(AR4:AR33)</f>
        <v>39994.527175472467</v>
      </c>
      <c r="AO34" s="119">
        <f>+AL34/AN34</f>
        <v>11.827175658300854</v>
      </c>
      <c r="AP34" s="119">
        <f>+(AL34-'Conto Termico'!G39)/(SUM(AN4:AN33)+SUM(AR4:AR33))</f>
        <v>9.1237657761030722</v>
      </c>
      <c r="AT34" s="34"/>
      <c r="AU34" s="34"/>
      <c r="AV34" s="34"/>
    </row>
    <row r="35" spans="2:52" s="9" customFormat="1" x14ac:dyDescent="0.3">
      <c r="AK35" s="26"/>
      <c r="AL35" s="47"/>
      <c r="AM35" s="48"/>
      <c r="AN35" s="46"/>
      <c r="AO35" s="119"/>
      <c r="AP35" s="119"/>
      <c r="AT35" s="34"/>
      <c r="AU35" s="34"/>
      <c r="AV35" s="34"/>
      <c r="AX35" s="26">
        <f>SUM(AX4:AX34)</f>
        <v>567626.75792999996</v>
      </c>
      <c r="AY35" s="26">
        <f>SUM(AY4:AY34)</f>
        <v>593401.96</v>
      </c>
      <c r="AZ35" s="26">
        <f>AY35-AX35</f>
        <v>25775.202069999999</v>
      </c>
    </row>
    <row r="36" spans="2:52" s="9" customFormat="1" ht="16.2" thickBot="1" x14ac:dyDescent="0.35">
      <c r="F36" s="9" t="s">
        <v>471</v>
      </c>
      <c r="G36" s="9" t="s">
        <v>508</v>
      </c>
      <c r="N36" s="26"/>
      <c r="O36" s="26"/>
      <c r="Q36" s="299" t="s">
        <v>294</v>
      </c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148">
        <f>+AL34</f>
        <v>473022.29827500001</v>
      </c>
      <c r="AM36" s="90"/>
      <c r="AN36" s="45"/>
      <c r="AO36" s="46"/>
      <c r="AP36" s="119"/>
      <c r="AT36" s="34"/>
      <c r="AU36" s="34"/>
      <c r="AV36" s="34"/>
      <c r="AY36" s="262"/>
    </row>
    <row r="37" spans="2:52" ht="15.6" x14ac:dyDescent="0.3">
      <c r="D37" s="263" t="s">
        <v>506</v>
      </c>
      <c r="E37" s="264">
        <f>N34+Q34+S34+V34+AK34</f>
        <v>399162.29827500001</v>
      </c>
      <c r="F37" s="265">
        <v>1.1499999999999999</v>
      </c>
      <c r="G37" s="266">
        <f>E37*F37</f>
        <v>459036.64301624999</v>
      </c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50"/>
      <c r="AM37" s="90"/>
      <c r="AN37" s="45"/>
      <c r="AO37" s="46"/>
      <c r="AP37" s="119"/>
      <c r="AQ37" s="9"/>
      <c r="AR37" s="9"/>
      <c r="AS37" s="9"/>
    </row>
    <row r="38" spans="2:52" ht="16.2" thickBot="1" x14ac:dyDescent="0.35">
      <c r="D38" s="267" t="s">
        <v>507</v>
      </c>
      <c r="E38" s="268">
        <f>Y34</f>
        <v>73860</v>
      </c>
      <c r="F38" s="269">
        <v>1.1499999999999999</v>
      </c>
      <c r="G38" s="270">
        <f>E38*F38</f>
        <v>84939</v>
      </c>
      <c r="Q38" s="301" t="s">
        <v>295</v>
      </c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151">
        <f>+AL36*(1+$AL$39)</f>
        <v>567626.75792999996</v>
      </c>
      <c r="AO38" s="186">
        <f>+AL38/AN34</f>
        <v>14.192610789961025</v>
      </c>
      <c r="AP38" s="186">
        <f>+(AL38-'Conto Termico'!AC39*AP2)/Riassunto!AN34</f>
        <v>10.445797176757956</v>
      </c>
    </row>
    <row r="39" spans="2:52" x14ac:dyDescent="0.3">
      <c r="G39" s="26">
        <f>SUM(G37:G38)</f>
        <v>543975.64301624999</v>
      </c>
      <c r="AL39" s="152">
        <v>0.2</v>
      </c>
      <c r="AM39" s="292" t="s">
        <v>296</v>
      </c>
      <c r="AN39" s="292"/>
      <c r="AO39" s="292"/>
      <c r="AP39" s="292"/>
    </row>
    <row r="41" spans="2:52" ht="15.6" x14ac:dyDescent="0.3">
      <c r="Q41" s="293" t="s">
        <v>484</v>
      </c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43">
        <f>+'Conto Termico'!AC39</f>
        <v>149852.03887468029</v>
      </c>
    </row>
    <row r="44" spans="2:52" x14ac:dyDescent="0.3">
      <c r="AT44" s="45"/>
      <c r="AU44" s="47"/>
      <c r="AV44" s="45"/>
    </row>
    <row r="45" spans="2:52" x14ac:dyDescent="0.3">
      <c r="AT45" s="45"/>
      <c r="AU45" s="47"/>
      <c r="AV45" s="45"/>
    </row>
    <row r="46" spans="2:52" x14ac:dyDescent="0.3">
      <c r="AT46" s="45"/>
      <c r="AU46" s="45"/>
      <c r="AV46" s="45"/>
    </row>
  </sheetData>
  <autoFilter ref="C3:AK34"/>
  <mergeCells count="7">
    <mergeCell ref="AM39:AP39"/>
    <mergeCell ref="Q41:AK41"/>
    <mergeCell ref="AY6:AY7"/>
    <mergeCell ref="AZ6:AZ7"/>
    <mergeCell ref="AT3:AV3"/>
    <mergeCell ref="Q36:AK36"/>
    <mergeCell ref="Q38:AK38"/>
  </mergeCells>
  <dataValidations count="3">
    <dataValidation type="list" allowBlank="1" sqref="J39 M1:M2 R4:R33 H4:H33 J4:J33 M4:M33 O4:P33 AG4:AG33 AD4:AD33 AA4:AA33 X4:X33 U4:U33">
      <formula1>SI.NO</formula1>
    </dataValidation>
    <dataValidation type="list" allowBlank="1" sqref="F4:F33">
      <formula1>CH4.OIL</formula1>
    </dataValidation>
    <dataValidation type="list" allowBlank="1" showInputMessage="1" showErrorMessage="1" sqref="AJ4:AJ33">
      <formula1>RepValidi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8" scale="77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8" id="{F86F3EBC-37B3-46AA-84BA-AC5D2A5C6A33}">
            <xm:f>+'2'!$E$36=0</xm:f>
            <x14:dxf>
              <fill>
                <patternFill>
                  <bgColor theme="0" tint="-0.24994659260841701"/>
                </patternFill>
              </fill>
            </x14:dxf>
          </x14:cfRule>
          <xm:sqref>M5:O5</xm:sqref>
        </x14:conditionalFormatting>
        <x14:conditionalFormatting xmlns:xm="http://schemas.microsoft.com/office/excel/2006/main">
          <x14:cfRule type="expression" priority="286" id="{E15EF286-601D-409B-B95A-EACF2873EECC}">
            <xm:f>+'2'!$E$49=0</xm:f>
            <x14:dxf>
              <fill>
                <patternFill>
                  <bgColor theme="0" tint="-0.24994659260841701"/>
                </patternFill>
              </fill>
            </x14:dxf>
          </x14:cfRule>
          <xm:sqref>P5:Q5</xm:sqref>
        </x14:conditionalFormatting>
        <x14:conditionalFormatting xmlns:xm="http://schemas.microsoft.com/office/excel/2006/main">
          <x14:cfRule type="expression" priority="284" id="{4DBEF7C8-C680-4819-ACA4-F43535202A05}">
            <xm:f>+'2'!$E$66=0</xm:f>
            <x14:dxf>
              <fill>
                <patternFill>
                  <bgColor theme="0" tint="-0.24994659260841701"/>
                </patternFill>
              </fill>
            </x14:dxf>
          </x14:cfRule>
          <xm:sqref>R5:S5</xm:sqref>
        </x14:conditionalFormatting>
        <x14:conditionalFormatting xmlns:xm="http://schemas.microsoft.com/office/excel/2006/main">
          <x14:cfRule type="expression" priority="282" id="{65332802-90C8-43BC-87ED-4EC710E7D386}">
            <xm:f>+'2'!$O$36=0</xm:f>
            <x14:dxf>
              <fill>
                <patternFill>
                  <bgColor theme="0" tint="-0.24994659260841701"/>
                </patternFill>
              </fill>
            </x14:dxf>
          </x14:cfRule>
          <xm:sqref>X5:Z5</xm:sqref>
        </x14:conditionalFormatting>
        <x14:conditionalFormatting xmlns:xm="http://schemas.microsoft.com/office/excel/2006/main">
          <x14:cfRule type="expression" priority="281" id="{10D58045-459B-48D8-87EF-F6690C94F4FD}">
            <xm:f>+'2'!$T$36=0</xm:f>
            <x14:dxf>
              <fill>
                <patternFill>
                  <bgColor theme="0" tint="-0.24994659260841701"/>
                </patternFill>
              </fill>
            </x14:dxf>
          </x14:cfRule>
          <xm:sqref>AA5:AC5</xm:sqref>
        </x14:conditionalFormatting>
        <x14:conditionalFormatting xmlns:xm="http://schemas.microsoft.com/office/excel/2006/main">
          <x14:cfRule type="expression" priority="280" id="{1686DFEC-F8C5-4605-88C7-BD9B224D1BDD}">
            <xm:f>+'2'!$Y$36=0</xm:f>
            <x14:dxf>
              <fill>
                <patternFill>
                  <bgColor theme="0" tint="-0.24994659260841701"/>
                </patternFill>
              </fill>
            </x14:dxf>
          </x14:cfRule>
          <xm:sqref>AD5:AF5</xm:sqref>
        </x14:conditionalFormatting>
        <x14:conditionalFormatting xmlns:xm="http://schemas.microsoft.com/office/excel/2006/main">
          <x14:cfRule type="expression" priority="279" id="{143A7460-818A-4A83-845D-C77FB7A47E54}">
            <xm:f>+'2'!$AD$36=0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AG5:AI5</xm:sqref>
        </x14:conditionalFormatting>
        <x14:conditionalFormatting xmlns:xm="http://schemas.microsoft.com/office/excel/2006/main">
          <x14:cfRule type="expression" priority="277" id="{9EAC5707-4236-460C-809F-87A75EBE04BE}">
            <xm:f>+'2'!$AI$36=0</xm:f>
            <x14:dxf>
              <fill>
                <patternFill>
                  <bgColor theme="0" tint="-0.24994659260841701"/>
                </patternFill>
              </fill>
            </x14:dxf>
          </x14:cfRule>
          <xm:sqref>AK5</xm:sqref>
        </x14:conditionalFormatting>
        <x14:conditionalFormatting xmlns:xm="http://schemas.microsoft.com/office/excel/2006/main">
          <x14:cfRule type="expression" priority="276" id="{E2843638-6D43-4795-B36E-7EBBEE3C95D1}">
            <xm:f>+'2'!$J$36=0</xm:f>
            <x14:dxf>
              <fill>
                <patternFill>
                  <bgColor theme="0" tint="-0.24994659260841701"/>
                </patternFill>
              </fill>
            </x14:dxf>
          </x14:cfRule>
          <xm:sqref>U5:W5</xm:sqref>
        </x14:conditionalFormatting>
        <x14:conditionalFormatting xmlns:xm="http://schemas.microsoft.com/office/excel/2006/main">
          <x14:cfRule type="expression" priority="275" id="{77423964-650A-4CC2-B916-DCA10CDDD33C}">
            <xm:f>+'3'!$E$36=0</xm:f>
            <x14:dxf>
              <fill>
                <patternFill>
                  <bgColor theme="0" tint="-0.24994659260841701"/>
                </patternFill>
              </fill>
            </x14:dxf>
          </x14:cfRule>
          <xm:sqref>M6:O6</xm:sqref>
        </x14:conditionalFormatting>
        <x14:conditionalFormatting xmlns:xm="http://schemas.microsoft.com/office/excel/2006/main">
          <x14:cfRule type="expression" priority="274" id="{D3DCD8FA-6DF7-4364-A2AD-A610D2AC2DA4}">
            <xm:f>+'3'!$E$49=0</xm:f>
            <x14:dxf>
              <fill>
                <patternFill>
                  <bgColor theme="0" tint="-0.24994659260841701"/>
                </patternFill>
              </fill>
            </x14:dxf>
          </x14:cfRule>
          <xm:sqref>P6:Q6</xm:sqref>
        </x14:conditionalFormatting>
        <x14:conditionalFormatting xmlns:xm="http://schemas.microsoft.com/office/excel/2006/main">
          <x14:cfRule type="expression" priority="273" id="{69472D44-6756-43BF-9D5F-8B6157F24E62}">
            <xm:f>+'3'!$E$66=0</xm:f>
            <x14:dxf>
              <fill>
                <patternFill>
                  <bgColor theme="0" tint="-0.24994659260841701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expression" priority="272" id="{8D1C5CA0-2AF1-4F86-82EE-57260032BF83}">
            <xm:f>+'3'!$O$36=0</xm:f>
            <x14:dxf>
              <fill>
                <patternFill>
                  <bgColor theme="0" tint="-0.24994659260841701"/>
                </patternFill>
              </fill>
            </x14:dxf>
          </x14:cfRule>
          <xm:sqref>X6:Z6</xm:sqref>
        </x14:conditionalFormatting>
        <x14:conditionalFormatting xmlns:xm="http://schemas.microsoft.com/office/excel/2006/main">
          <x14:cfRule type="expression" priority="271" id="{888B34F0-7C12-4F52-BB0F-F8CE68DF61A5}">
            <xm:f>+'3'!$T$36=0</xm:f>
            <x14:dxf>
              <fill>
                <patternFill>
                  <bgColor theme="0" tint="-0.24994659260841701"/>
                </patternFill>
              </fill>
            </x14:dxf>
          </x14:cfRule>
          <xm:sqref>AA6:AC6</xm:sqref>
        </x14:conditionalFormatting>
        <x14:conditionalFormatting xmlns:xm="http://schemas.microsoft.com/office/excel/2006/main">
          <x14:cfRule type="expression" priority="270" id="{D04FE257-0A17-46E2-8A79-3B8227666E5E}">
            <xm:f>+'3'!$Y$36=0</xm:f>
            <x14:dxf>
              <fill>
                <patternFill>
                  <bgColor theme="0" tint="-0.24994659260841701"/>
                </patternFill>
              </fill>
            </x14:dxf>
          </x14:cfRule>
          <xm:sqref>AD6:AF6</xm:sqref>
        </x14:conditionalFormatting>
        <x14:conditionalFormatting xmlns:xm="http://schemas.microsoft.com/office/excel/2006/main">
          <x14:cfRule type="expression" priority="269" id="{BD9202E2-F36E-43DD-A3EE-6CD55F694A43}">
            <xm:f>+'3'!$AD$36=0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AG6:AI6</xm:sqref>
        </x14:conditionalFormatting>
        <x14:conditionalFormatting xmlns:xm="http://schemas.microsoft.com/office/excel/2006/main">
          <x14:cfRule type="expression" priority="268" id="{7F21BD10-AF55-4B2A-B6DC-F16F9428CFC9}">
            <xm:f>+'3'!$AI$36=0</xm:f>
            <x14:dxf>
              <fill>
                <patternFill>
                  <bgColor theme="0" tint="-0.24994659260841701"/>
                </patternFill>
              </fill>
            </x14:dxf>
          </x14:cfRule>
          <xm:sqref>AK6</xm:sqref>
        </x14:conditionalFormatting>
        <x14:conditionalFormatting xmlns:xm="http://schemas.microsoft.com/office/excel/2006/main">
          <x14:cfRule type="expression" priority="267" id="{D2AF404C-926C-4248-963E-56DBDB88D056}">
            <xm:f>+'3'!$J$36=0</xm:f>
            <x14:dxf>
              <fill>
                <patternFill>
                  <bgColor theme="0" tint="-0.24994659260841701"/>
                </patternFill>
              </fill>
            </x14:dxf>
          </x14:cfRule>
          <xm:sqref>U6:W6</xm:sqref>
        </x14:conditionalFormatting>
        <x14:conditionalFormatting xmlns:xm="http://schemas.microsoft.com/office/excel/2006/main">
          <x14:cfRule type="expression" priority="257" id="{A65DC616-5B8F-46E1-BBFB-4C268660E670}">
            <xm:f>+'4'!$E$36=0</xm:f>
            <x14:dxf>
              <fill>
                <patternFill>
                  <bgColor theme="0" tint="-0.24994659260841701"/>
                </patternFill>
              </fill>
            </x14:dxf>
          </x14:cfRule>
          <xm:sqref>M7:O7</xm:sqref>
        </x14:conditionalFormatting>
        <x14:conditionalFormatting xmlns:xm="http://schemas.microsoft.com/office/excel/2006/main">
          <x14:cfRule type="expression" priority="256" id="{BD4400A5-F7DF-4044-B24E-85FFFD7C503D}">
            <xm:f>+'4'!$E$49=0</xm:f>
            <x14:dxf>
              <fill>
                <patternFill>
                  <bgColor theme="0" tint="-0.24994659260841701"/>
                </patternFill>
              </fill>
            </x14:dxf>
          </x14:cfRule>
          <xm:sqref>P7:Q7</xm:sqref>
        </x14:conditionalFormatting>
        <x14:conditionalFormatting xmlns:xm="http://schemas.microsoft.com/office/excel/2006/main">
          <x14:cfRule type="expression" priority="255" id="{88AFADBE-33F5-4866-BF04-DF51E460BD89}">
            <xm:f>+'4'!$E$66=0</xm:f>
            <x14:dxf>
              <fill>
                <patternFill>
                  <bgColor theme="0" tint="-0.24994659260841701"/>
                </patternFill>
              </fill>
            </x14:dxf>
          </x14:cfRule>
          <xm:sqref>R7:S7</xm:sqref>
        </x14:conditionalFormatting>
        <x14:conditionalFormatting xmlns:xm="http://schemas.microsoft.com/office/excel/2006/main">
          <x14:cfRule type="expression" priority="254" id="{5B0F347D-4EEC-46AB-AE91-E3EE9874100F}">
            <xm:f>+'4'!$O$36=0</xm:f>
            <x14:dxf>
              <fill>
                <patternFill>
                  <bgColor theme="0" tint="-0.24994659260841701"/>
                </patternFill>
              </fill>
            </x14:dxf>
          </x14:cfRule>
          <xm:sqref>X7:Z7</xm:sqref>
        </x14:conditionalFormatting>
        <x14:conditionalFormatting xmlns:xm="http://schemas.microsoft.com/office/excel/2006/main">
          <x14:cfRule type="expression" priority="253" id="{AF4AEFA1-C48B-476E-94CB-7ABC1045C874}">
            <xm:f>+'4'!$T$36=0</xm:f>
            <x14:dxf>
              <fill>
                <patternFill>
                  <bgColor theme="0" tint="-0.24994659260841701"/>
                </patternFill>
              </fill>
            </x14:dxf>
          </x14:cfRule>
          <xm:sqref>AA7:AC7</xm:sqref>
        </x14:conditionalFormatting>
        <x14:conditionalFormatting xmlns:xm="http://schemas.microsoft.com/office/excel/2006/main">
          <x14:cfRule type="expression" priority="252" id="{C51B9AF3-719F-4041-9165-134794665D5F}">
            <xm:f>+'4'!$Y$36=0</xm:f>
            <x14:dxf>
              <fill>
                <patternFill>
                  <bgColor theme="0" tint="-0.24994659260841701"/>
                </patternFill>
              </fill>
            </x14:dxf>
          </x14:cfRule>
          <xm:sqref>AD7:AF7</xm:sqref>
        </x14:conditionalFormatting>
        <x14:conditionalFormatting xmlns:xm="http://schemas.microsoft.com/office/excel/2006/main">
          <x14:cfRule type="expression" priority="251" id="{DAD30365-DE8E-46E2-B822-4B42417F96E5}">
            <xm:f>+'4'!$AD$36=0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AG7:AI7</xm:sqref>
        </x14:conditionalFormatting>
        <x14:conditionalFormatting xmlns:xm="http://schemas.microsoft.com/office/excel/2006/main">
          <x14:cfRule type="expression" priority="250" id="{47F5D93D-3DE2-4118-BEC7-B3624CC6C907}">
            <xm:f>+'4'!$AI$36=0</xm:f>
            <x14:dxf>
              <fill>
                <patternFill>
                  <bgColor theme="0" tint="-0.24994659260841701"/>
                </patternFill>
              </fill>
            </x14:dxf>
          </x14:cfRule>
          <xm:sqref>AK7</xm:sqref>
        </x14:conditionalFormatting>
        <x14:conditionalFormatting xmlns:xm="http://schemas.microsoft.com/office/excel/2006/main">
          <x14:cfRule type="expression" priority="249" id="{BB6BF416-E9B3-444C-BF00-573D1E87B590}">
            <xm:f>+'4'!$J$36=0</xm:f>
            <x14:dxf>
              <fill>
                <patternFill>
                  <bgColor theme="0" tint="-0.24994659260841701"/>
                </patternFill>
              </fill>
            </x14:dxf>
          </x14:cfRule>
          <xm:sqref>U7:W7</xm:sqref>
        </x14:conditionalFormatting>
        <x14:conditionalFormatting xmlns:xm="http://schemas.microsoft.com/office/excel/2006/main">
          <x14:cfRule type="expression" priority="248" id="{410ED921-2FD0-4F51-B2D3-6A3079966BE0}">
            <xm:f>+'5'!$E$37=0</xm:f>
            <x14:dxf>
              <fill>
                <patternFill>
                  <bgColor theme="0" tint="-0.24994659260841701"/>
                </patternFill>
              </fill>
            </x14:dxf>
          </x14:cfRule>
          <xm:sqref>M8:O8</xm:sqref>
        </x14:conditionalFormatting>
        <x14:conditionalFormatting xmlns:xm="http://schemas.microsoft.com/office/excel/2006/main">
          <x14:cfRule type="expression" priority="247" id="{F83005F7-D0CB-4151-896B-521C6CD2EAFB}">
            <xm:f>+'5'!$E$50=0</xm:f>
            <x14:dxf>
              <fill>
                <patternFill>
                  <bgColor theme="0" tint="-0.24994659260841701"/>
                </patternFill>
              </fill>
            </x14:dxf>
          </x14:cfRule>
          <xm:sqref>P8:Q8</xm:sqref>
        </x14:conditionalFormatting>
        <x14:conditionalFormatting xmlns:xm="http://schemas.microsoft.com/office/excel/2006/main">
          <x14:cfRule type="expression" priority="246" id="{1A5FE639-2FF7-45A3-BE9E-FAB7051A8712}">
            <xm:f>+'5'!$E$67=0</xm:f>
            <x14:dxf>
              <fill>
                <patternFill>
                  <bgColor theme="0" tint="-0.24994659260841701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expression" priority="245" id="{75298B8C-6B1E-4865-80B2-9EDA714371E2}">
            <xm:f>+'5'!$O$37=0</xm:f>
            <x14:dxf>
              <fill>
                <patternFill>
                  <bgColor theme="0" tint="-0.24994659260841701"/>
                </patternFill>
              </fill>
            </x14:dxf>
          </x14:cfRule>
          <xm:sqref>X8:Z8</xm:sqref>
        </x14:conditionalFormatting>
        <x14:conditionalFormatting xmlns:xm="http://schemas.microsoft.com/office/excel/2006/main">
          <x14:cfRule type="expression" priority="244" id="{7168E271-73AA-4B90-BF6A-BE6BAECF30CF}">
            <xm:f>+'5'!$T$37=0</xm:f>
            <x14:dxf>
              <fill>
                <patternFill>
                  <bgColor theme="0" tint="-0.24994659260841701"/>
                </patternFill>
              </fill>
            </x14:dxf>
          </x14:cfRule>
          <xm:sqref>AA8:AC8</xm:sqref>
        </x14:conditionalFormatting>
        <x14:conditionalFormatting xmlns:xm="http://schemas.microsoft.com/office/excel/2006/main">
          <x14:cfRule type="expression" priority="243" id="{B32821D6-1D38-4C45-A089-473881F0B4AF}">
            <xm:f>+'5'!$Y$37=0</xm:f>
            <x14:dxf>
              <fill>
                <patternFill>
                  <bgColor theme="0" tint="-0.24994659260841701"/>
                </patternFill>
              </fill>
            </x14:dxf>
          </x14:cfRule>
          <xm:sqref>AD8:AF8</xm:sqref>
        </x14:conditionalFormatting>
        <x14:conditionalFormatting xmlns:xm="http://schemas.microsoft.com/office/excel/2006/main">
          <x14:cfRule type="expression" priority="242" id="{AA0EA35B-7D0E-425A-A8B1-4DF6D48EFC49}">
            <xm:f>+'5'!$AD$37=0</xm:f>
            <x14:dxf>
              <fill>
                <patternFill>
                  <bgColor theme="0" tint="-0.24994659260841701"/>
                </patternFill>
              </fill>
            </x14:dxf>
          </x14:cfRule>
          <xm:sqref>AG8:AI8</xm:sqref>
        </x14:conditionalFormatting>
        <x14:conditionalFormatting xmlns:xm="http://schemas.microsoft.com/office/excel/2006/main">
          <x14:cfRule type="expression" priority="241" id="{747583EF-7782-47B2-9FAB-21595B301C50}">
            <xm:f>+'5'!$AI$37=0</xm:f>
            <x14:dxf>
              <fill>
                <patternFill>
                  <bgColor theme="0" tint="-0.24994659260841701"/>
                </patternFill>
              </fill>
            </x14:dxf>
          </x14:cfRule>
          <xm:sqref>AJ8:AK8</xm:sqref>
        </x14:conditionalFormatting>
        <x14:conditionalFormatting xmlns:xm="http://schemas.microsoft.com/office/excel/2006/main">
          <x14:cfRule type="expression" priority="240" id="{9FA4E6C1-8412-4019-9714-0609E5A9B7D8}">
            <xm:f>+'5'!$J$37=0</xm:f>
            <x14:dxf>
              <fill>
                <patternFill>
                  <bgColor theme="0" tint="-0.24994659260841701"/>
                </patternFill>
              </fill>
            </x14:dxf>
          </x14:cfRule>
          <xm:sqref>U8:W8</xm:sqref>
        </x14:conditionalFormatting>
        <x14:conditionalFormatting xmlns:xm="http://schemas.microsoft.com/office/excel/2006/main">
          <x14:cfRule type="expression" priority="239" id="{0107524F-B9B5-4A97-8FEF-FC0F56810B40}">
            <xm:f>+'6'!$E$36=0</xm:f>
            <x14:dxf>
              <fill>
                <patternFill>
                  <bgColor theme="0" tint="-0.24994659260841701"/>
                </patternFill>
              </fill>
            </x14:dxf>
          </x14:cfRule>
          <xm:sqref>M9:O9</xm:sqref>
        </x14:conditionalFormatting>
        <x14:conditionalFormatting xmlns:xm="http://schemas.microsoft.com/office/excel/2006/main">
          <x14:cfRule type="expression" priority="238" id="{606C923D-20CD-444C-BAFB-83741C99E2F2}">
            <xm:f>+'6'!$E$49=0</xm:f>
            <x14:dxf>
              <fill>
                <patternFill>
                  <bgColor theme="0" tint="-0.24994659260841701"/>
                </patternFill>
              </fill>
            </x14:dxf>
          </x14:cfRule>
          <xm:sqref>P9:Q9</xm:sqref>
        </x14:conditionalFormatting>
        <x14:conditionalFormatting xmlns:xm="http://schemas.microsoft.com/office/excel/2006/main">
          <x14:cfRule type="expression" priority="237" id="{8077F61C-B7B4-41ED-BDF3-19137A0CFEE3}">
            <xm:f>+'6'!$E$66=0</xm:f>
            <x14:dxf>
              <fill>
                <patternFill>
                  <bgColor theme="0" tint="-0.24994659260841701"/>
                </patternFill>
              </fill>
            </x14:dxf>
          </x14:cfRule>
          <xm:sqref>R9:S9</xm:sqref>
        </x14:conditionalFormatting>
        <x14:conditionalFormatting xmlns:xm="http://schemas.microsoft.com/office/excel/2006/main">
          <x14:cfRule type="expression" priority="236" id="{11C44A03-671A-4A4E-AF68-EAAD1B079120}">
            <xm:f>+'6'!$O$36=0</xm:f>
            <x14:dxf>
              <fill>
                <patternFill>
                  <bgColor theme="0" tint="-0.24994659260841701"/>
                </patternFill>
              </fill>
            </x14:dxf>
          </x14:cfRule>
          <xm:sqref>X9:Z9</xm:sqref>
        </x14:conditionalFormatting>
        <x14:conditionalFormatting xmlns:xm="http://schemas.microsoft.com/office/excel/2006/main">
          <x14:cfRule type="expression" priority="235" id="{44263E52-9211-4DF7-8BEA-17F72EDDDF7C}">
            <xm:f>+'6'!$T$36=0</xm:f>
            <x14:dxf>
              <fill>
                <patternFill>
                  <bgColor theme="0" tint="-0.24994659260841701"/>
                </patternFill>
              </fill>
            </x14:dxf>
          </x14:cfRule>
          <xm:sqref>AA9:AC9</xm:sqref>
        </x14:conditionalFormatting>
        <x14:conditionalFormatting xmlns:xm="http://schemas.microsoft.com/office/excel/2006/main">
          <x14:cfRule type="expression" priority="234" id="{2B2FD55B-43B3-4E54-9447-6A3571A8D536}">
            <xm:f>+'6'!$Y$36=0</xm:f>
            <x14:dxf>
              <fill>
                <patternFill>
                  <bgColor theme="0" tint="-0.24994659260841701"/>
                </patternFill>
              </fill>
            </x14:dxf>
          </x14:cfRule>
          <xm:sqref>AD9:AF9</xm:sqref>
        </x14:conditionalFormatting>
        <x14:conditionalFormatting xmlns:xm="http://schemas.microsoft.com/office/excel/2006/main">
          <x14:cfRule type="expression" priority="233" id="{965D556C-8F24-415E-82D5-8A6198432386}">
            <xm:f>+'6'!$AD$36=0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AG9:AI9</xm:sqref>
        </x14:conditionalFormatting>
        <x14:conditionalFormatting xmlns:xm="http://schemas.microsoft.com/office/excel/2006/main">
          <x14:cfRule type="expression" priority="232" id="{08DDCFC2-A57D-4D61-B5C2-42286B9C309B}">
            <xm:f>+'6'!$AI$36=0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AJ9:AK9</xm:sqref>
        </x14:conditionalFormatting>
        <x14:conditionalFormatting xmlns:xm="http://schemas.microsoft.com/office/excel/2006/main">
          <x14:cfRule type="expression" priority="231" id="{98FE17BE-2045-4CDB-BECE-0D00DF1E2AC5}">
            <xm:f>+'6'!$J$36=0</xm:f>
            <x14:dxf>
              <fill>
                <patternFill>
                  <bgColor theme="0" tint="-0.24994659260841701"/>
                </patternFill>
              </fill>
            </x14:dxf>
          </x14:cfRule>
          <xm:sqref>U9:W9</xm:sqref>
        </x14:conditionalFormatting>
        <x14:conditionalFormatting xmlns:xm="http://schemas.microsoft.com/office/excel/2006/main">
          <x14:cfRule type="expression" priority="230" id="{3FB9ED3F-4F4C-4D2B-BAAC-A608BEF810B5}">
            <xm:f>+'7'!$E$36=0</xm:f>
            <x14:dxf>
              <fill>
                <patternFill>
                  <bgColor theme="0" tint="-0.24994659260841701"/>
                </patternFill>
              </fill>
            </x14:dxf>
          </x14:cfRule>
          <xm:sqref>M10:O10</xm:sqref>
        </x14:conditionalFormatting>
        <x14:conditionalFormatting xmlns:xm="http://schemas.microsoft.com/office/excel/2006/main">
          <x14:cfRule type="expression" priority="229" id="{C4F993E7-D74F-4CD8-89AF-B4FE47CB5305}">
            <xm:f>+'7'!$E$49=0</xm:f>
            <x14:dxf>
              <fill>
                <patternFill>
                  <bgColor theme="0" tint="-0.24994659260841701"/>
                </patternFill>
              </fill>
            </x14:dxf>
          </x14:cfRule>
          <xm:sqref>P10:Q10</xm:sqref>
        </x14:conditionalFormatting>
        <x14:conditionalFormatting xmlns:xm="http://schemas.microsoft.com/office/excel/2006/main">
          <x14:cfRule type="expression" priority="228" id="{F36BD879-03CE-4DE8-88CD-095967D018F8}">
            <xm:f>+'7'!$E$66=0</xm:f>
            <x14:dxf>
              <fill>
                <patternFill>
                  <bgColor theme="0" tint="-0.24994659260841701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expression" priority="227" id="{D2F56BD3-E34A-4298-96BC-37CBF67963DB}">
            <xm:f>+'7'!$O$36=0</xm:f>
            <x14:dxf>
              <fill>
                <patternFill>
                  <bgColor theme="0" tint="-0.24994659260841701"/>
                </patternFill>
              </fill>
            </x14:dxf>
          </x14:cfRule>
          <xm:sqref>X10:Z10</xm:sqref>
        </x14:conditionalFormatting>
        <x14:conditionalFormatting xmlns:xm="http://schemas.microsoft.com/office/excel/2006/main">
          <x14:cfRule type="expression" priority="226" id="{EB842E65-B184-451B-A160-D4F449CF9A71}">
            <xm:f>+'7'!$T$36=0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AA10:AC10</xm:sqref>
        </x14:conditionalFormatting>
        <x14:conditionalFormatting xmlns:xm="http://schemas.microsoft.com/office/excel/2006/main">
          <x14:cfRule type="expression" priority="225" id="{6CA4981F-859A-4CBF-A436-1063365216DF}">
            <xm:f>+'7'!$Y$36=0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AD10:AF10</xm:sqref>
        </x14:conditionalFormatting>
        <x14:conditionalFormatting xmlns:xm="http://schemas.microsoft.com/office/excel/2006/main">
          <x14:cfRule type="expression" priority="224" id="{BF0A424F-F9C1-46EB-95D2-5B91D05C07A6}">
            <xm:f>+'7'!$AD$36=0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AG10:AI10</xm:sqref>
        </x14:conditionalFormatting>
        <x14:conditionalFormatting xmlns:xm="http://schemas.microsoft.com/office/excel/2006/main">
          <x14:cfRule type="expression" priority="223" id="{CC815335-86A4-4B21-B23D-31A2C0399A4A}">
            <xm:f>+'7'!$AI$36=0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AJ10:AK10</xm:sqref>
        </x14:conditionalFormatting>
        <x14:conditionalFormatting xmlns:xm="http://schemas.microsoft.com/office/excel/2006/main">
          <x14:cfRule type="expression" priority="222" id="{A3AC1558-19FB-416E-AD3C-9596490DE1BB}">
            <xm:f>+'7'!$J$36=0</xm:f>
            <x14:dxf>
              <fill>
                <patternFill>
                  <bgColor theme="0" tint="-0.24994659260841701"/>
                </patternFill>
              </fill>
            </x14:dxf>
          </x14:cfRule>
          <xm:sqref>U10:W10</xm:sqref>
        </x14:conditionalFormatting>
        <x14:conditionalFormatting xmlns:xm="http://schemas.microsoft.com/office/excel/2006/main">
          <x14:cfRule type="expression" priority="221" id="{F821E0B5-49F7-472A-884D-92A898438CE3}">
            <xm:f>+'8'!$E$37=0</xm:f>
            <x14:dxf>
              <fill>
                <patternFill>
                  <bgColor theme="0" tint="-0.24994659260841701"/>
                </patternFill>
              </fill>
            </x14:dxf>
          </x14:cfRule>
          <xm:sqref>M11:O11</xm:sqref>
        </x14:conditionalFormatting>
        <x14:conditionalFormatting xmlns:xm="http://schemas.microsoft.com/office/excel/2006/main">
          <x14:cfRule type="expression" priority="220" id="{45599478-9691-4483-9562-6AA0F3A595DE}">
            <xm:f>+'8'!$E$50=0</xm:f>
            <x14:dxf>
              <fill>
                <patternFill>
                  <bgColor theme="0" tint="-0.24994659260841701"/>
                </patternFill>
              </fill>
            </x14:dxf>
          </x14:cfRule>
          <xm:sqref>P11:Q11</xm:sqref>
        </x14:conditionalFormatting>
        <x14:conditionalFormatting xmlns:xm="http://schemas.microsoft.com/office/excel/2006/main">
          <x14:cfRule type="expression" priority="219" id="{91124F63-01A2-44FC-B148-F45FDE8F1C59}">
            <xm:f>+'8'!$E$67=0</xm:f>
            <x14:dxf>
              <fill>
                <patternFill>
                  <bgColor theme="0" tint="-0.24994659260841701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expression" priority="218" id="{4E8119A0-1EAC-48CF-B505-C4CB3E832789}">
            <xm:f>+'8'!$O$37=0</xm:f>
            <x14:dxf>
              <fill>
                <patternFill>
                  <bgColor theme="0" tint="-0.24994659260841701"/>
                </patternFill>
              </fill>
            </x14:dxf>
          </x14:cfRule>
          <xm:sqref>X11:Z11</xm:sqref>
        </x14:conditionalFormatting>
        <x14:conditionalFormatting xmlns:xm="http://schemas.microsoft.com/office/excel/2006/main">
          <x14:cfRule type="expression" priority="217" id="{CB61EB16-45D6-4870-BFAD-B37836B61652}">
            <xm:f>+'8'!$T$37=0</xm:f>
            <x14:dxf>
              <fill>
                <patternFill>
                  <bgColor theme="0" tint="-0.24994659260841701"/>
                </patternFill>
              </fill>
            </x14:dxf>
          </x14:cfRule>
          <xm:sqref>AA11:AC11</xm:sqref>
        </x14:conditionalFormatting>
        <x14:conditionalFormatting xmlns:xm="http://schemas.microsoft.com/office/excel/2006/main">
          <x14:cfRule type="expression" priority="216" id="{E48588C1-FB54-4E82-A299-3F8742C2E82C}">
            <xm:f>+'8'!$Y$37=0</xm:f>
            <x14:dxf>
              <fill>
                <patternFill>
                  <bgColor theme="0" tint="-0.24994659260841701"/>
                </patternFill>
              </fill>
            </x14:dxf>
          </x14:cfRule>
          <xm:sqref>AD11:AF11</xm:sqref>
        </x14:conditionalFormatting>
        <x14:conditionalFormatting xmlns:xm="http://schemas.microsoft.com/office/excel/2006/main">
          <x14:cfRule type="expression" priority="215" id="{511C1075-2F21-4965-8E61-6466D63E4C71}">
            <xm:f>+'8'!$AD$37=0</xm:f>
            <x14:dxf>
              <fill>
                <patternFill>
                  <bgColor theme="0" tint="-0.24994659260841701"/>
                </patternFill>
              </fill>
            </x14:dxf>
          </x14:cfRule>
          <xm:sqref>AG11:AI11</xm:sqref>
        </x14:conditionalFormatting>
        <x14:conditionalFormatting xmlns:xm="http://schemas.microsoft.com/office/excel/2006/main">
          <x14:cfRule type="expression" priority="214" id="{A4C1467C-6C16-40A1-B111-6EF7D0AE3C2A}">
            <xm:f>+'8'!$AI$37=0</xm:f>
            <x14:dxf>
              <fill>
                <patternFill>
                  <bgColor theme="0" tint="-0.24994659260841701"/>
                </patternFill>
              </fill>
            </x14:dxf>
          </x14:cfRule>
          <xm:sqref>AJ11:AK11</xm:sqref>
        </x14:conditionalFormatting>
        <x14:conditionalFormatting xmlns:xm="http://schemas.microsoft.com/office/excel/2006/main">
          <x14:cfRule type="expression" priority="213" id="{D74E9C02-72C6-47A9-9B80-9045D1F2A9DE}">
            <xm:f>+'8'!$J$37=0</xm:f>
            <x14:dxf>
              <fill>
                <patternFill>
                  <bgColor theme="0" tint="-0.24994659260841701"/>
                </patternFill>
              </fill>
            </x14:dxf>
          </x14:cfRule>
          <xm:sqref>U11:W11</xm:sqref>
        </x14:conditionalFormatting>
        <x14:conditionalFormatting xmlns:xm="http://schemas.microsoft.com/office/excel/2006/main">
          <x14:cfRule type="expression" priority="212" id="{930D597E-F192-463F-B61E-65A408F060EE}">
            <xm:f>+'9'!$E$36=0</xm:f>
            <x14:dxf>
              <fill>
                <patternFill>
                  <bgColor theme="0" tint="-0.24994659260841701"/>
                </patternFill>
              </fill>
            </x14:dxf>
          </x14:cfRule>
          <xm:sqref>M12:O12</xm:sqref>
        </x14:conditionalFormatting>
        <x14:conditionalFormatting xmlns:xm="http://schemas.microsoft.com/office/excel/2006/main">
          <x14:cfRule type="expression" priority="211" id="{949E3D42-A875-46F8-B9AD-7DE07D9D1BA5}">
            <xm:f>+'9'!$E$49=0</xm:f>
            <x14:dxf>
              <fill>
                <patternFill>
                  <bgColor theme="0" tint="-0.24994659260841701"/>
                </patternFill>
              </fill>
            </x14:dxf>
          </x14:cfRule>
          <xm:sqref>P12:Q12</xm:sqref>
        </x14:conditionalFormatting>
        <x14:conditionalFormatting xmlns:xm="http://schemas.microsoft.com/office/excel/2006/main">
          <x14:cfRule type="expression" priority="210" id="{AABA10E2-5E36-4C81-9278-E487B40ED26C}">
            <xm:f>+'9'!$E$66=0</xm:f>
            <x14:dxf>
              <fill>
                <patternFill>
                  <bgColor theme="0" tint="-0.24994659260841701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expression" priority="209" id="{03B86BE2-4454-40D0-8706-D554C2CF0043}">
            <xm:f>+'9'!$O$36=0</xm:f>
            <x14:dxf>
              <fill>
                <patternFill>
                  <bgColor theme="0" tint="-0.24994659260841701"/>
                </patternFill>
              </fill>
            </x14:dxf>
          </x14:cfRule>
          <xm:sqref>X12:Z12</xm:sqref>
        </x14:conditionalFormatting>
        <x14:conditionalFormatting xmlns:xm="http://schemas.microsoft.com/office/excel/2006/main">
          <x14:cfRule type="expression" priority="208" id="{EF2816F9-C598-4C4A-BA5D-5379AA27C595}">
            <xm:f>+'9'!$T$36=0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AA12:AC12</xm:sqref>
        </x14:conditionalFormatting>
        <x14:conditionalFormatting xmlns:xm="http://schemas.microsoft.com/office/excel/2006/main">
          <x14:cfRule type="expression" priority="207" id="{22FCE5CD-441F-41D6-BBC0-02144B3DC675}">
            <xm:f>+'9'!$Y$36=0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AD12:AF12</xm:sqref>
        </x14:conditionalFormatting>
        <x14:conditionalFormatting xmlns:xm="http://schemas.microsoft.com/office/excel/2006/main">
          <x14:cfRule type="expression" priority="206" id="{D3991811-4CA0-4079-AB99-144BC3BACFDA}">
            <xm:f>+'9'!$AD$36=0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AG12:AI12</xm:sqref>
        </x14:conditionalFormatting>
        <x14:conditionalFormatting xmlns:xm="http://schemas.microsoft.com/office/excel/2006/main">
          <x14:cfRule type="expression" priority="205" id="{A17EEEA2-E1FF-408C-83F1-5C73561AABFC}">
            <xm:f>+'9'!$AI$36=0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AJ12:AK12</xm:sqref>
        </x14:conditionalFormatting>
        <x14:conditionalFormatting xmlns:xm="http://schemas.microsoft.com/office/excel/2006/main">
          <x14:cfRule type="expression" priority="204" id="{EB953491-F992-4F1A-BA73-773C3E695942}">
            <xm:f>+'9'!$J$36=0</xm:f>
            <x14:dxf>
              <fill>
                <patternFill>
                  <bgColor theme="0" tint="-0.24994659260841701"/>
                </patternFill>
              </fill>
            </x14:dxf>
          </x14:cfRule>
          <xm:sqref>U12:W12</xm:sqref>
        </x14:conditionalFormatting>
        <x14:conditionalFormatting xmlns:xm="http://schemas.microsoft.com/office/excel/2006/main">
          <x14:cfRule type="expression" priority="203" id="{70DC8FFB-497A-4C3A-ADB8-A66495DAE016}">
            <xm:f>+'10'!$E$36=0</xm:f>
            <x14:dxf>
              <fill>
                <patternFill>
                  <bgColor theme="0" tint="-0.24994659260841701"/>
                </patternFill>
              </fill>
            </x14:dxf>
          </x14:cfRule>
          <xm:sqref>M13:O13</xm:sqref>
        </x14:conditionalFormatting>
        <x14:conditionalFormatting xmlns:xm="http://schemas.microsoft.com/office/excel/2006/main">
          <x14:cfRule type="expression" priority="202" id="{CE59F9CC-83F9-403A-8E9A-8BF73FE6C150}">
            <xm:f>+'10'!$E$49=0</xm:f>
            <x14:dxf>
              <fill>
                <patternFill>
                  <bgColor theme="0" tint="-0.24994659260841701"/>
                </patternFill>
              </fill>
            </x14:dxf>
          </x14:cfRule>
          <xm:sqref>P13:Q13</xm:sqref>
        </x14:conditionalFormatting>
        <x14:conditionalFormatting xmlns:xm="http://schemas.microsoft.com/office/excel/2006/main">
          <x14:cfRule type="expression" priority="201" id="{3DC3E754-5A9A-41E4-827F-E0C93950BF37}">
            <xm:f>+'10'!$E$66=0</xm:f>
            <x14:dxf>
              <fill>
                <patternFill>
                  <bgColor theme="0" tint="-0.24994659260841701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expression" priority="200" id="{E8E4C6FF-48D4-43F1-AAB5-C0ED67FD2997}">
            <xm:f>+'10'!$O$36=0</xm:f>
            <x14:dxf>
              <fill>
                <patternFill>
                  <bgColor theme="0" tint="-0.24994659260841701"/>
                </patternFill>
              </fill>
            </x14:dxf>
          </x14:cfRule>
          <xm:sqref>X13:Z13</xm:sqref>
        </x14:conditionalFormatting>
        <x14:conditionalFormatting xmlns:xm="http://schemas.microsoft.com/office/excel/2006/main">
          <x14:cfRule type="expression" priority="199" id="{3733DA02-D0DF-4CDA-8B50-5FA2520630BA}">
            <xm:f>+'10'!$T$36=0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AA13:AC13</xm:sqref>
        </x14:conditionalFormatting>
        <x14:conditionalFormatting xmlns:xm="http://schemas.microsoft.com/office/excel/2006/main">
          <x14:cfRule type="expression" priority="198" id="{52F1BD18-A1F1-439F-8E0A-6EC25229D5F6}">
            <xm:f>+'10'!$Y$36=0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AD13:AF13</xm:sqref>
        </x14:conditionalFormatting>
        <x14:conditionalFormatting xmlns:xm="http://schemas.microsoft.com/office/excel/2006/main">
          <x14:cfRule type="expression" priority="197" id="{20B0B543-D213-4B8E-B03C-4B51C4F22AFA}">
            <xm:f>+'10'!$AD$36=0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AG13:AI13</xm:sqref>
        </x14:conditionalFormatting>
        <x14:conditionalFormatting xmlns:xm="http://schemas.microsoft.com/office/excel/2006/main">
          <x14:cfRule type="expression" priority="196" id="{390E53AB-E1A5-490D-9049-8071E95CE51F}">
            <xm:f>+'10'!$AI$36=0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AJ13:AK13</xm:sqref>
        </x14:conditionalFormatting>
        <x14:conditionalFormatting xmlns:xm="http://schemas.microsoft.com/office/excel/2006/main">
          <x14:cfRule type="expression" priority="195" id="{7431B74A-7C27-41CA-876E-B1E237B85ED8}">
            <xm:f>+'10'!$J$36=0</xm:f>
            <x14:dxf>
              <fill>
                <patternFill>
                  <bgColor theme="0" tint="-0.24994659260841701"/>
                </patternFill>
              </fill>
            </x14:dxf>
          </x14:cfRule>
          <xm:sqref>U13:W13</xm:sqref>
        </x14:conditionalFormatting>
        <x14:conditionalFormatting xmlns:xm="http://schemas.microsoft.com/office/excel/2006/main">
          <x14:cfRule type="expression" priority="194" id="{AC25C004-076F-4ED8-8200-CC7745A4889A}">
            <xm:f>+'11'!$E$36=0</xm:f>
            <x14:dxf>
              <fill>
                <patternFill>
                  <bgColor theme="0" tint="-0.24994659260841701"/>
                </patternFill>
              </fill>
            </x14:dxf>
          </x14:cfRule>
          <xm:sqref>M14:O14</xm:sqref>
        </x14:conditionalFormatting>
        <x14:conditionalFormatting xmlns:xm="http://schemas.microsoft.com/office/excel/2006/main">
          <x14:cfRule type="expression" priority="193" id="{2AEE337C-048C-47C1-9DFF-782B53AB38CD}">
            <xm:f>+'11'!$E$49=0</xm:f>
            <x14:dxf>
              <fill>
                <patternFill>
                  <bgColor theme="0" tint="-0.24994659260841701"/>
                </patternFill>
              </fill>
            </x14:dxf>
          </x14:cfRule>
          <xm:sqref>P14:Q14</xm:sqref>
        </x14:conditionalFormatting>
        <x14:conditionalFormatting xmlns:xm="http://schemas.microsoft.com/office/excel/2006/main">
          <x14:cfRule type="expression" priority="192" id="{88735554-C4B6-4F75-807D-3E3B7077CCD8}">
            <xm:f>+'11'!$E$66=0</xm:f>
            <x14:dxf>
              <fill>
                <patternFill>
                  <bgColor theme="0" tint="-0.24994659260841701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expression" priority="191" id="{E5F6D4B4-1B2F-46FA-A236-3B7BA5291A68}">
            <xm:f>+'11'!$O$36=0</xm:f>
            <x14:dxf>
              <fill>
                <patternFill>
                  <bgColor theme="0" tint="-0.24994659260841701"/>
                </patternFill>
              </fill>
            </x14:dxf>
          </x14:cfRule>
          <xm:sqref>X14:Z14</xm:sqref>
        </x14:conditionalFormatting>
        <x14:conditionalFormatting xmlns:xm="http://schemas.microsoft.com/office/excel/2006/main">
          <x14:cfRule type="expression" priority="190" id="{A08A743E-647E-4EC3-8C2C-50FA806C43DB}">
            <xm:f>+'11'!$T$36=0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AA14:AC14</xm:sqref>
        </x14:conditionalFormatting>
        <x14:conditionalFormatting xmlns:xm="http://schemas.microsoft.com/office/excel/2006/main">
          <x14:cfRule type="expression" priority="189" id="{3EAA19B4-BB07-42AE-936B-5F181ABA94AE}">
            <xm:f>+'11'!$Y$36=0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AD14:AF14</xm:sqref>
        </x14:conditionalFormatting>
        <x14:conditionalFormatting xmlns:xm="http://schemas.microsoft.com/office/excel/2006/main">
          <x14:cfRule type="expression" priority="188" id="{28911496-B442-4081-B81C-C0B979DA06BD}">
            <xm:f>+'11'!$AD$36=0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AG14:AI14</xm:sqref>
        </x14:conditionalFormatting>
        <x14:conditionalFormatting xmlns:xm="http://schemas.microsoft.com/office/excel/2006/main">
          <x14:cfRule type="expression" priority="187" id="{9616D3FC-130C-4A44-B8A3-47CDA2C0B803}">
            <xm:f>+'11'!$AI$36=0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AJ14:AK14</xm:sqref>
        </x14:conditionalFormatting>
        <x14:conditionalFormatting xmlns:xm="http://schemas.microsoft.com/office/excel/2006/main">
          <x14:cfRule type="expression" priority="186" id="{2CE2A1AA-EE84-433A-8C27-E796E51D77B3}">
            <xm:f>+'11'!$J$36=0</xm:f>
            <x14:dxf>
              <fill>
                <patternFill>
                  <bgColor theme="0" tint="-0.24994659260841701"/>
                </patternFill>
              </fill>
            </x14:dxf>
          </x14:cfRule>
          <xm:sqref>U14:W14</xm:sqref>
        </x14:conditionalFormatting>
        <x14:conditionalFormatting xmlns:xm="http://schemas.microsoft.com/office/excel/2006/main">
          <x14:cfRule type="expression" priority="185" id="{6115AAF7-A0FE-4BB4-A662-18B6ACBBA848}">
            <xm:f>+'12'!$E$36=0</xm:f>
            <x14:dxf>
              <fill>
                <patternFill>
                  <bgColor theme="0" tint="-0.24994659260841701"/>
                </patternFill>
              </fill>
            </x14:dxf>
          </x14:cfRule>
          <xm:sqref>M15:O15</xm:sqref>
        </x14:conditionalFormatting>
        <x14:conditionalFormatting xmlns:xm="http://schemas.microsoft.com/office/excel/2006/main">
          <x14:cfRule type="expression" priority="184" id="{E47C4283-2C86-4307-8C6E-061FCEBF9F3B}">
            <xm:f>+'12'!$E$49=0</xm:f>
            <x14:dxf>
              <fill>
                <patternFill>
                  <bgColor theme="0" tint="-0.24994659260841701"/>
                </patternFill>
              </fill>
            </x14:dxf>
          </x14:cfRule>
          <xm:sqref>P15:Q15</xm:sqref>
        </x14:conditionalFormatting>
        <x14:conditionalFormatting xmlns:xm="http://schemas.microsoft.com/office/excel/2006/main">
          <x14:cfRule type="expression" priority="183" id="{D4D9E315-763C-4742-9DC9-52BCF156E445}">
            <xm:f>+'12'!$E$66=0</xm:f>
            <x14:dxf>
              <fill>
                <patternFill>
                  <bgColor theme="0" tint="-0.24994659260841701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expression" priority="182" id="{8F453E55-D531-4FC7-AC2C-854EC7ABF9E9}">
            <xm:f>+'12'!$O$36=0</xm:f>
            <x14:dxf>
              <fill>
                <patternFill>
                  <bgColor theme="0" tint="-0.24994659260841701"/>
                </patternFill>
              </fill>
            </x14:dxf>
          </x14:cfRule>
          <xm:sqref>X15:Z15</xm:sqref>
        </x14:conditionalFormatting>
        <x14:conditionalFormatting xmlns:xm="http://schemas.microsoft.com/office/excel/2006/main">
          <x14:cfRule type="expression" priority="181" id="{1AF27ACC-92A9-4BBA-B01D-7FB76E223F23}">
            <xm:f>+'12'!$T$36=0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AA15:AC15</xm:sqref>
        </x14:conditionalFormatting>
        <x14:conditionalFormatting xmlns:xm="http://schemas.microsoft.com/office/excel/2006/main">
          <x14:cfRule type="expression" priority="180" id="{9CF63966-A301-4636-A939-E9131DCA09EF}">
            <xm:f>+'12'!$Y$36=0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AD15:AF15</xm:sqref>
        </x14:conditionalFormatting>
        <x14:conditionalFormatting xmlns:xm="http://schemas.microsoft.com/office/excel/2006/main">
          <x14:cfRule type="expression" priority="179" id="{96AC8B83-1984-485C-B7AC-07D89C011ABC}">
            <xm:f>+'12'!$AD$36=0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AG15:AI15</xm:sqref>
        </x14:conditionalFormatting>
        <x14:conditionalFormatting xmlns:xm="http://schemas.microsoft.com/office/excel/2006/main">
          <x14:cfRule type="expression" priority="178" id="{705B2128-63A9-456C-990E-5EA6C7419A3C}">
            <xm:f>+'12'!$AI$36=0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AJ15:AK15</xm:sqref>
        </x14:conditionalFormatting>
        <x14:conditionalFormatting xmlns:xm="http://schemas.microsoft.com/office/excel/2006/main">
          <x14:cfRule type="expression" priority="177" id="{2D42606B-A60C-43E0-935A-C47C659E5FD5}">
            <xm:f>+'12'!$J$36=0</xm:f>
            <x14:dxf>
              <fill>
                <patternFill>
                  <bgColor theme="0" tint="-0.24994659260841701"/>
                </patternFill>
              </fill>
            </x14:dxf>
          </x14:cfRule>
          <xm:sqref>U15:W15</xm:sqref>
        </x14:conditionalFormatting>
        <x14:conditionalFormatting xmlns:xm="http://schemas.microsoft.com/office/excel/2006/main">
          <x14:cfRule type="expression" priority="176" id="{87B6D769-E5F5-4F60-9C11-271273F2C0E8}">
            <xm:f>+'13'!$E$36=0</xm:f>
            <x14:dxf>
              <fill>
                <patternFill>
                  <bgColor theme="0" tint="-0.24994659260841701"/>
                </patternFill>
              </fill>
            </x14:dxf>
          </x14:cfRule>
          <xm:sqref>M16:O16</xm:sqref>
        </x14:conditionalFormatting>
        <x14:conditionalFormatting xmlns:xm="http://schemas.microsoft.com/office/excel/2006/main">
          <x14:cfRule type="expression" priority="175" id="{42C1EF72-DDD4-41B7-9261-3207DF0490A6}">
            <xm:f>+'13'!$E$49=0</xm:f>
            <x14:dxf>
              <fill>
                <patternFill>
                  <bgColor theme="0" tint="-0.24994659260841701"/>
                </patternFill>
              </fill>
            </x14:dxf>
          </x14:cfRule>
          <xm:sqref>P16:Q16</xm:sqref>
        </x14:conditionalFormatting>
        <x14:conditionalFormatting xmlns:xm="http://schemas.microsoft.com/office/excel/2006/main">
          <x14:cfRule type="expression" priority="174" id="{F0AFC7D9-FCE2-4BCD-9217-EBF51B543073}">
            <xm:f>+'13'!$E$66=0</xm:f>
            <x14:dxf>
              <fill>
                <patternFill>
                  <bgColor theme="0" tint="-0.24994659260841701"/>
                </patternFill>
              </fill>
            </x14:dxf>
          </x14:cfRule>
          <xm:sqref>R16:S16</xm:sqref>
        </x14:conditionalFormatting>
        <x14:conditionalFormatting xmlns:xm="http://schemas.microsoft.com/office/excel/2006/main">
          <x14:cfRule type="expression" priority="173" id="{02C5D08E-8084-4040-A083-8FA8F04E409D}">
            <xm:f>+'13'!$O$36=0</xm:f>
            <x14:dxf>
              <fill>
                <patternFill>
                  <bgColor theme="0" tint="-0.24994659260841701"/>
                </patternFill>
              </fill>
            </x14:dxf>
          </x14:cfRule>
          <xm:sqref>X16:Z16</xm:sqref>
        </x14:conditionalFormatting>
        <x14:conditionalFormatting xmlns:xm="http://schemas.microsoft.com/office/excel/2006/main">
          <x14:cfRule type="expression" priority="172" id="{1F4D82D0-0A27-4B21-9A15-D5B375E5472B}">
            <xm:f>+'13'!$T$36=0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AA16:AC16</xm:sqref>
        </x14:conditionalFormatting>
        <x14:conditionalFormatting xmlns:xm="http://schemas.microsoft.com/office/excel/2006/main">
          <x14:cfRule type="expression" priority="171" id="{A4871D42-B2CF-4549-B649-A254EE6497F5}">
            <xm:f>+'13'!$Y$36=0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AD16:AF16</xm:sqref>
        </x14:conditionalFormatting>
        <x14:conditionalFormatting xmlns:xm="http://schemas.microsoft.com/office/excel/2006/main">
          <x14:cfRule type="expression" priority="170" id="{67CCD9BF-3940-4112-9804-8B4CDF9F7205}">
            <xm:f>+'13'!$AD$36=0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AG16:AI16</xm:sqref>
        </x14:conditionalFormatting>
        <x14:conditionalFormatting xmlns:xm="http://schemas.microsoft.com/office/excel/2006/main">
          <x14:cfRule type="expression" priority="169" id="{488A4A9B-7597-42CB-A194-F8E95A9E5F2A}">
            <xm:f>+'13'!$AI$36=0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AJ16:AK16</xm:sqref>
        </x14:conditionalFormatting>
        <x14:conditionalFormatting xmlns:xm="http://schemas.microsoft.com/office/excel/2006/main">
          <x14:cfRule type="expression" priority="168" id="{1A10E8D2-1AE8-4183-B90D-339A0942CF1E}">
            <xm:f>+'13'!$J$36=0</xm:f>
            <x14:dxf>
              <fill>
                <patternFill>
                  <bgColor theme="0" tint="-0.24994659260841701"/>
                </patternFill>
              </fill>
            </x14:dxf>
          </x14:cfRule>
          <xm:sqref>U16:W16</xm:sqref>
        </x14:conditionalFormatting>
        <x14:conditionalFormatting xmlns:xm="http://schemas.microsoft.com/office/excel/2006/main">
          <x14:cfRule type="expression" priority="167" id="{70628A4B-BD99-4704-B964-FCB6C0D90404}">
            <xm:f>+'14'!$E$36=0</xm:f>
            <x14:dxf>
              <fill>
                <patternFill>
                  <bgColor theme="0" tint="-0.24994659260841701"/>
                </patternFill>
              </fill>
            </x14:dxf>
          </x14:cfRule>
          <xm:sqref>M17:O17</xm:sqref>
        </x14:conditionalFormatting>
        <x14:conditionalFormatting xmlns:xm="http://schemas.microsoft.com/office/excel/2006/main">
          <x14:cfRule type="expression" priority="166" id="{E513814B-D9BB-4DD3-9466-031CB9A9D2B0}">
            <xm:f>+'14'!$E$49=0</xm:f>
            <x14:dxf>
              <fill>
                <patternFill>
                  <bgColor theme="0" tint="-0.24994659260841701"/>
                </patternFill>
              </fill>
            </x14:dxf>
          </x14:cfRule>
          <xm:sqref>P17:Q17</xm:sqref>
        </x14:conditionalFormatting>
        <x14:conditionalFormatting xmlns:xm="http://schemas.microsoft.com/office/excel/2006/main">
          <x14:cfRule type="expression" priority="165" id="{D730AC81-CA83-4CBA-A4DB-24E554C7E2A7}">
            <xm:f>+'14'!$E$66=0</xm:f>
            <x14:dxf>
              <fill>
                <patternFill>
                  <bgColor theme="0" tint="-0.24994659260841701"/>
                </patternFill>
              </fill>
            </x14:dxf>
          </x14:cfRule>
          <xm:sqref>R17:S17</xm:sqref>
        </x14:conditionalFormatting>
        <x14:conditionalFormatting xmlns:xm="http://schemas.microsoft.com/office/excel/2006/main">
          <x14:cfRule type="expression" priority="164" id="{9B810F61-E5E4-4EBC-BF85-D0FD0DCA7CE7}">
            <xm:f>+'14'!$O$36=0</xm:f>
            <x14:dxf>
              <fill>
                <patternFill>
                  <bgColor theme="0" tint="-0.24994659260841701"/>
                </patternFill>
              </fill>
            </x14:dxf>
          </x14:cfRule>
          <xm:sqref>X17:Z17</xm:sqref>
        </x14:conditionalFormatting>
        <x14:conditionalFormatting xmlns:xm="http://schemas.microsoft.com/office/excel/2006/main">
          <x14:cfRule type="expression" priority="163" id="{22B69D00-40DC-4799-8E52-97F6925B65E4}">
            <xm:f>+'14'!$T$36=0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AA17:AC17</xm:sqref>
        </x14:conditionalFormatting>
        <x14:conditionalFormatting xmlns:xm="http://schemas.microsoft.com/office/excel/2006/main">
          <x14:cfRule type="expression" priority="162" id="{A968080E-EE02-4F77-B0B7-A49FA7913468}">
            <xm:f>+'14'!$Y$36=0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AD17:AF17</xm:sqref>
        </x14:conditionalFormatting>
        <x14:conditionalFormatting xmlns:xm="http://schemas.microsoft.com/office/excel/2006/main">
          <x14:cfRule type="expression" priority="161" id="{96177F59-209F-4623-A3B7-6CF84FB32D42}">
            <xm:f>+'14'!$AD$36=0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AG17:AI17</xm:sqref>
        </x14:conditionalFormatting>
        <x14:conditionalFormatting xmlns:xm="http://schemas.microsoft.com/office/excel/2006/main">
          <x14:cfRule type="expression" priority="160" id="{D289F244-3B0F-4925-B9CE-F802AB75065F}">
            <xm:f>+'14'!$AI$36=0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AJ17:AK17</xm:sqref>
        </x14:conditionalFormatting>
        <x14:conditionalFormatting xmlns:xm="http://schemas.microsoft.com/office/excel/2006/main">
          <x14:cfRule type="expression" priority="159" id="{16051A42-2558-4C7C-91CF-C8C59EA5214C}">
            <xm:f>+'14'!$J$36=0</xm:f>
            <x14:dxf>
              <fill>
                <patternFill>
                  <bgColor theme="0" tint="-0.24994659260841701"/>
                </patternFill>
              </fill>
            </x14:dxf>
          </x14:cfRule>
          <xm:sqref>U17:W17</xm:sqref>
        </x14:conditionalFormatting>
        <x14:conditionalFormatting xmlns:xm="http://schemas.microsoft.com/office/excel/2006/main">
          <x14:cfRule type="expression" priority="158" id="{5CF1CB1D-752A-46F8-B910-2C824FFDA7FD}">
            <xm:f>+'15'!$E$36=0</xm:f>
            <x14:dxf>
              <fill>
                <patternFill>
                  <bgColor theme="0" tint="-0.24994659260841701"/>
                </patternFill>
              </fill>
            </x14:dxf>
          </x14:cfRule>
          <xm:sqref>M18:O18</xm:sqref>
        </x14:conditionalFormatting>
        <x14:conditionalFormatting xmlns:xm="http://schemas.microsoft.com/office/excel/2006/main">
          <x14:cfRule type="expression" priority="157" id="{A98C2F2F-25F2-4C9B-8E9E-3F657FA15613}">
            <xm:f>+'15'!$E$49=0</xm:f>
            <x14:dxf>
              <fill>
                <patternFill>
                  <bgColor theme="0" tint="-0.24994659260841701"/>
                </patternFill>
              </fill>
            </x14:dxf>
          </x14:cfRule>
          <xm:sqref>P18:Q18</xm:sqref>
        </x14:conditionalFormatting>
        <x14:conditionalFormatting xmlns:xm="http://schemas.microsoft.com/office/excel/2006/main">
          <x14:cfRule type="expression" priority="156" id="{D2F4C083-A6F4-4BD4-AAB0-DA9D5C6909B4}">
            <xm:f>+'15'!$E$66=0</xm:f>
            <x14:dxf>
              <fill>
                <patternFill>
                  <bgColor theme="0" tint="-0.24994659260841701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expression" priority="155" id="{0910A98F-D70A-4AA4-91D3-CF9B5A20E5A5}">
            <xm:f>+'15'!$O$36=0</xm:f>
            <x14:dxf>
              <fill>
                <patternFill>
                  <bgColor theme="0" tint="-0.24994659260841701"/>
                </patternFill>
              </fill>
            </x14:dxf>
          </x14:cfRule>
          <xm:sqref>X18:Z18</xm:sqref>
        </x14:conditionalFormatting>
        <x14:conditionalFormatting xmlns:xm="http://schemas.microsoft.com/office/excel/2006/main">
          <x14:cfRule type="expression" priority="154" id="{0539E1F5-1C2D-4E5E-A3FA-E2050901489A}">
            <xm:f>+'15'!$T$36=0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AA18:AC18</xm:sqref>
        </x14:conditionalFormatting>
        <x14:conditionalFormatting xmlns:xm="http://schemas.microsoft.com/office/excel/2006/main">
          <x14:cfRule type="expression" priority="153" id="{2EC13EBA-E7D1-42BC-A888-22E8012E979F}">
            <xm:f>+'15'!$Y$36=0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AD18:AF18</xm:sqref>
        </x14:conditionalFormatting>
        <x14:conditionalFormatting xmlns:xm="http://schemas.microsoft.com/office/excel/2006/main">
          <x14:cfRule type="expression" priority="152" id="{95580051-1B68-49A5-9651-7F33FAB7E803}">
            <xm:f>+'15'!$AD$36=0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AG18:AI18</xm:sqref>
        </x14:conditionalFormatting>
        <x14:conditionalFormatting xmlns:xm="http://schemas.microsoft.com/office/excel/2006/main">
          <x14:cfRule type="expression" priority="151" id="{AAD45337-4F72-4468-8753-D2A453C55E82}">
            <xm:f>+'15'!$AI$36=0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AJ18:AK18</xm:sqref>
        </x14:conditionalFormatting>
        <x14:conditionalFormatting xmlns:xm="http://schemas.microsoft.com/office/excel/2006/main">
          <x14:cfRule type="expression" priority="150" id="{078DC1EC-812A-4A75-86B8-92F6BDF1448F}">
            <xm:f>+'15'!$J$36=0</xm:f>
            <x14:dxf>
              <fill>
                <patternFill>
                  <bgColor theme="0" tint="-0.24994659260841701"/>
                </patternFill>
              </fill>
            </x14:dxf>
          </x14:cfRule>
          <xm:sqref>U18:W18</xm:sqref>
        </x14:conditionalFormatting>
        <x14:conditionalFormatting xmlns:xm="http://schemas.microsoft.com/office/excel/2006/main">
          <x14:cfRule type="expression" priority="149" id="{873035A6-87B3-464E-9FF4-D8EC2A767E68}">
            <xm:f>+'16'!$E$36=0</xm:f>
            <x14:dxf>
              <fill>
                <patternFill>
                  <bgColor theme="0" tint="-0.24994659260841701"/>
                </patternFill>
              </fill>
            </x14:dxf>
          </x14:cfRule>
          <xm:sqref>M19:O19</xm:sqref>
        </x14:conditionalFormatting>
        <x14:conditionalFormatting xmlns:xm="http://schemas.microsoft.com/office/excel/2006/main">
          <x14:cfRule type="expression" priority="148" id="{F0C88F4A-8E68-4B75-83C7-BADF811C62A2}">
            <xm:f>+'16'!$E$49=0</xm:f>
            <x14:dxf>
              <fill>
                <patternFill>
                  <bgColor theme="0" tint="-0.24994659260841701"/>
                </patternFill>
              </fill>
            </x14:dxf>
          </x14:cfRule>
          <xm:sqref>P19:Q19</xm:sqref>
        </x14:conditionalFormatting>
        <x14:conditionalFormatting xmlns:xm="http://schemas.microsoft.com/office/excel/2006/main">
          <x14:cfRule type="expression" priority="147" id="{5A9D3FFE-BEA0-4BE3-B410-3D66C1D8A04D}">
            <xm:f>+'16'!$E$66=0</xm:f>
            <x14:dxf>
              <fill>
                <patternFill>
                  <bgColor theme="0" tint="-0.24994659260841701"/>
                </patternFill>
              </fill>
            </x14:dxf>
          </x14:cfRule>
          <xm:sqref>R19:S19</xm:sqref>
        </x14:conditionalFormatting>
        <x14:conditionalFormatting xmlns:xm="http://schemas.microsoft.com/office/excel/2006/main">
          <x14:cfRule type="expression" priority="146" id="{4A1454F5-58A1-48AB-B2EC-E2B90252E6B5}">
            <xm:f>+'16'!$O$36=0</xm:f>
            <x14:dxf>
              <fill>
                <patternFill>
                  <bgColor theme="0" tint="-0.24994659260841701"/>
                </patternFill>
              </fill>
            </x14:dxf>
          </x14:cfRule>
          <xm:sqref>X19:Z19</xm:sqref>
        </x14:conditionalFormatting>
        <x14:conditionalFormatting xmlns:xm="http://schemas.microsoft.com/office/excel/2006/main">
          <x14:cfRule type="expression" priority="145" id="{C410B8DE-D6FB-4B84-8CE3-8C317E0CE82F}">
            <xm:f>+'2'!$T$36=0</xm:f>
            <x14:dxf>
              <fill>
                <patternFill>
                  <bgColor theme="0" tint="-0.24994659260841701"/>
                </patternFill>
              </fill>
            </x14:dxf>
          </x14:cfRule>
          <xm:sqref>AA19:AC19</xm:sqref>
        </x14:conditionalFormatting>
        <x14:conditionalFormatting xmlns:xm="http://schemas.microsoft.com/office/excel/2006/main">
          <x14:cfRule type="expression" priority="144" id="{85F66FBF-ABF5-4A6B-B2C2-C22C5D8A9FD0}">
            <xm:f>+'2'!$Y$36=0</xm:f>
            <x14:dxf>
              <fill>
                <patternFill>
                  <bgColor theme="0" tint="-0.24994659260841701"/>
                </patternFill>
              </fill>
            </x14:dxf>
          </x14:cfRule>
          <xm:sqref>AD19:AF19</xm:sqref>
        </x14:conditionalFormatting>
        <x14:conditionalFormatting xmlns:xm="http://schemas.microsoft.com/office/excel/2006/main">
          <x14:cfRule type="expression" priority="143" id="{DB953CD7-098B-4D87-8FC2-FA7A5AF46263}">
            <xm:f>+'2'!$AD$36=0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AG19:AI19</xm:sqref>
        </x14:conditionalFormatting>
        <x14:conditionalFormatting xmlns:xm="http://schemas.microsoft.com/office/excel/2006/main">
          <x14:cfRule type="expression" priority="142" id="{3770656B-92DA-46E3-ADAA-9464E95204ED}">
            <xm:f>+'16'!$AI$36=0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AJ19:AK19</xm:sqref>
        </x14:conditionalFormatting>
        <x14:conditionalFormatting xmlns:xm="http://schemas.microsoft.com/office/excel/2006/main">
          <x14:cfRule type="expression" priority="141" id="{0FE6E8E1-832E-42E0-8E06-952BADF056BC}">
            <xm:f>+'16'!$J$36=0</xm:f>
            <x14:dxf>
              <fill>
                <patternFill>
                  <bgColor theme="0" tint="-0.24994659260841701"/>
                </patternFill>
              </fill>
            </x14:dxf>
          </x14:cfRule>
          <xm:sqref>U19:W19</xm:sqref>
        </x14:conditionalFormatting>
        <x14:conditionalFormatting xmlns:xm="http://schemas.microsoft.com/office/excel/2006/main">
          <x14:cfRule type="expression" priority="140" id="{13643ABD-1E8F-473A-9129-F082BF2B7F4F}">
            <xm:f>+'18'!$E$36=0</xm:f>
            <x14:dxf>
              <fill>
                <patternFill>
                  <bgColor theme="0" tint="-0.24994659260841701"/>
                </patternFill>
              </fill>
            </x14:dxf>
          </x14:cfRule>
          <xm:sqref>M21:O21</xm:sqref>
        </x14:conditionalFormatting>
        <x14:conditionalFormatting xmlns:xm="http://schemas.microsoft.com/office/excel/2006/main">
          <x14:cfRule type="expression" priority="139" id="{7BCFC85F-1D73-4A6F-B1E7-DEA597C8FE04}">
            <xm:f>+'18'!$E$49=0</xm:f>
            <x14:dxf>
              <fill>
                <patternFill>
                  <bgColor theme="0" tint="-0.24994659260841701"/>
                </patternFill>
              </fill>
            </x14:dxf>
          </x14:cfRule>
          <xm:sqref>P21:Q21</xm:sqref>
        </x14:conditionalFormatting>
        <x14:conditionalFormatting xmlns:xm="http://schemas.microsoft.com/office/excel/2006/main">
          <x14:cfRule type="expression" priority="138" id="{6A5C6A5C-3486-46E6-A2C7-5F9251A8FA75}">
            <xm:f>+'18'!$E$66=0</xm:f>
            <x14:dxf>
              <fill>
                <patternFill>
                  <bgColor theme="0" tint="-0.24994659260841701"/>
                </patternFill>
              </fill>
            </x14:dxf>
          </x14:cfRule>
          <xm:sqref>R21:S21</xm:sqref>
        </x14:conditionalFormatting>
        <x14:conditionalFormatting xmlns:xm="http://schemas.microsoft.com/office/excel/2006/main">
          <x14:cfRule type="expression" priority="137" id="{EFA94750-6FB8-4FDD-B227-A32886103527}">
            <xm:f>+'18'!$O$36=0</xm:f>
            <x14:dxf>
              <fill>
                <patternFill>
                  <bgColor theme="0" tint="-0.24994659260841701"/>
                </patternFill>
              </fill>
            </x14:dxf>
          </x14:cfRule>
          <xm:sqref>X21:Z21</xm:sqref>
        </x14:conditionalFormatting>
        <x14:conditionalFormatting xmlns:xm="http://schemas.microsoft.com/office/excel/2006/main">
          <x14:cfRule type="expression" priority="136" id="{4A031030-2D8E-42EC-9AF4-92772BA9BCDA}">
            <xm:f>+'3'!$T$36=0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AA21:AC21</xm:sqref>
        </x14:conditionalFormatting>
        <x14:conditionalFormatting xmlns:xm="http://schemas.microsoft.com/office/excel/2006/main">
          <x14:cfRule type="expression" priority="135" id="{B09DDD66-E54F-4E7E-B592-FB2F2CB5D554}">
            <xm:f>+'3'!$Y$36=0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AD21:AF21</xm:sqref>
        </x14:conditionalFormatting>
        <x14:conditionalFormatting xmlns:xm="http://schemas.microsoft.com/office/excel/2006/main">
          <x14:cfRule type="expression" priority="134" id="{887FAC59-018F-421B-9851-8F9E5EF2D974}">
            <xm:f>+'3'!$AD$36=0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AG21:AI21</xm:sqref>
        </x14:conditionalFormatting>
        <x14:conditionalFormatting xmlns:xm="http://schemas.microsoft.com/office/excel/2006/main">
          <x14:cfRule type="expression" priority="133" id="{367D7F15-1AD6-4A85-9146-3BCB09BDC98D}">
            <xm:f>+'18'!$AI$36=0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AJ21:AK21</xm:sqref>
        </x14:conditionalFormatting>
        <x14:conditionalFormatting xmlns:xm="http://schemas.microsoft.com/office/excel/2006/main">
          <x14:cfRule type="expression" priority="132" id="{B3E21073-BBDF-4EB0-A965-8C1CB300FA98}">
            <xm:f>+'18'!$J$36=0</xm:f>
            <x14:dxf>
              <fill>
                <patternFill>
                  <bgColor theme="0" tint="-0.24994659260841701"/>
                </patternFill>
              </fill>
            </x14:dxf>
          </x14:cfRule>
          <xm:sqref>U21:W21</xm:sqref>
        </x14:conditionalFormatting>
        <x14:conditionalFormatting xmlns:xm="http://schemas.microsoft.com/office/excel/2006/main">
          <x14:cfRule type="expression" priority="131" id="{A858A2E5-2D02-4B9C-A2CE-C74D65F0F680}">
            <xm:f>+'19'!$E$36=0</xm:f>
            <x14:dxf>
              <fill>
                <patternFill>
                  <bgColor theme="0" tint="-0.24994659260841701"/>
                </patternFill>
              </fill>
            </x14:dxf>
          </x14:cfRule>
          <xm:sqref>M22:O22</xm:sqref>
        </x14:conditionalFormatting>
        <x14:conditionalFormatting xmlns:xm="http://schemas.microsoft.com/office/excel/2006/main">
          <x14:cfRule type="expression" priority="130" id="{A16B2447-B377-42F7-A58F-FC82B11F3AFC}">
            <xm:f>+'19'!$E$49=0</xm:f>
            <x14:dxf>
              <fill>
                <patternFill>
                  <bgColor theme="0" tint="-0.24994659260841701"/>
                </patternFill>
              </fill>
            </x14:dxf>
          </x14:cfRule>
          <xm:sqref>P22:Q22</xm:sqref>
        </x14:conditionalFormatting>
        <x14:conditionalFormatting xmlns:xm="http://schemas.microsoft.com/office/excel/2006/main">
          <x14:cfRule type="expression" priority="129" id="{908AF1AB-DFE8-4852-9E77-9C1443CA88CA}">
            <xm:f>+'19'!$E$66=0</xm:f>
            <x14:dxf>
              <fill>
                <patternFill>
                  <bgColor theme="0" tint="-0.24994659260841701"/>
                </patternFill>
              </fill>
            </x14:dxf>
          </x14:cfRule>
          <xm:sqref>R22:S22</xm:sqref>
        </x14:conditionalFormatting>
        <x14:conditionalFormatting xmlns:xm="http://schemas.microsoft.com/office/excel/2006/main">
          <x14:cfRule type="expression" priority="128" id="{D0545FF7-E341-4F77-9140-F6A4A3697196}">
            <xm:f>+'19'!$O$36=0</xm:f>
            <x14:dxf>
              <fill>
                <patternFill>
                  <bgColor theme="0" tint="-0.24994659260841701"/>
                </patternFill>
              </fill>
            </x14:dxf>
          </x14:cfRule>
          <xm:sqref>X22:Z22</xm:sqref>
        </x14:conditionalFormatting>
        <x14:conditionalFormatting xmlns:xm="http://schemas.microsoft.com/office/excel/2006/main">
          <x14:cfRule type="expression" priority="127" id="{D72FD763-D6B9-4C6C-A0AA-D32E24BA376C}">
            <xm:f>+'4'!$T$36=0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AA22:AC22</xm:sqref>
        </x14:conditionalFormatting>
        <x14:conditionalFormatting xmlns:xm="http://schemas.microsoft.com/office/excel/2006/main">
          <x14:cfRule type="expression" priority="126" id="{2508979F-3047-458C-A918-4CFFC29F0B1F}">
            <xm:f>+'4'!$Y$36=0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AD22:AF22</xm:sqref>
        </x14:conditionalFormatting>
        <x14:conditionalFormatting xmlns:xm="http://schemas.microsoft.com/office/excel/2006/main">
          <x14:cfRule type="expression" priority="125" id="{2FE0C385-BE7E-4DEE-B7C0-3FB8456CA395}">
            <xm:f>+'4'!$AD$36=0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AG22:AI22</xm:sqref>
        </x14:conditionalFormatting>
        <x14:conditionalFormatting xmlns:xm="http://schemas.microsoft.com/office/excel/2006/main">
          <x14:cfRule type="expression" priority="124" id="{D9FEC754-4055-44E7-A435-529D9899E6B2}">
            <xm:f>+'19'!$AI$36=0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AJ22:AK22</xm:sqref>
        </x14:conditionalFormatting>
        <x14:conditionalFormatting xmlns:xm="http://schemas.microsoft.com/office/excel/2006/main">
          <x14:cfRule type="expression" priority="123" id="{D85B5E89-47B7-4202-A0E5-9AB74912B15F}">
            <xm:f>+'19'!$J$36=0</xm:f>
            <x14:dxf>
              <fill>
                <patternFill>
                  <bgColor theme="0" tint="-0.24994659260841701"/>
                </patternFill>
              </fill>
            </x14:dxf>
          </x14:cfRule>
          <xm:sqref>U22:W22</xm:sqref>
        </x14:conditionalFormatting>
        <x14:conditionalFormatting xmlns:xm="http://schemas.microsoft.com/office/excel/2006/main">
          <x14:cfRule type="expression" priority="122" id="{73A69AB2-8878-4DE7-83F7-603DD73BA269}">
            <xm:f>+'20'!$E$38=0</xm:f>
            <x14:dxf>
              <fill>
                <patternFill>
                  <bgColor theme="0" tint="-0.24994659260841701"/>
                </patternFill>
              </fill>
            </x14:dxf>
          </x14:cfRule>
          <xm:sqref>M23:O23</xm:sqref>
        </x14:conditionalFormatting>
        <x14:conditionalFormatting xmlns:xm="http://schemas.microsoft.com/office/excel/2006/main">
          <x14:cfRule type="expression" priority="121" id="{9875FFAC-2BA7-4DB6-8204-6FB7ECD0F239}">
            <xm:f>+'20'!$E$51=0</xm:f>
            <x14:dxf>
              <fill>
                <patternFill>
                  <bgColor theme="0" tint="-0.24994659260841701"/>
                </patternFill>
              </fill>
            </x14:dxf>
          </x14:cfRule>
          <xm:sqref>P23:Q23</xm:sqref>
        </x14:conditionalFormatting>
        <x14:conditionalFormatting xmlns:xm="http://schemas.microsoft.com/office/excel/2006/main">
          <x14:cfRule type="expression" priority="120" id="{3D65AB87-A95E-480C-8F84-8011C7096AF3}">
            <xm:f>+'20'!$E$68=0</xm:f>
            <x14:dxf>
              <fill>
                <patternFill>
                  <bgColor theme="0" tint="-0.24994659260841701"/>
                </patternFill>
              </fill>
            </x14:dxf>
          </x14:cfRule>
          <xm:sqref>R23:S23</xm:sqref>
        </x14:conditionalFormatting>
        <x14:conditionalFormatting xmlns:xm="http://schemas.microsoft.com/office/excel/2006/main">
          <x14:cfRule type="expression" priority="119" id="{89FEBE03-242B-4EE7-BC1F-CD6B842F2E43}">
            <xm:f>+'5'!$O$37=0</xm:f>
            <x14:dxf>
              <fill>
                <patternFill>
                  <bgColor theme="0" tint="-0.24994659260841701"/>
                </patternFill>
              </fill>
            </x14:dxf>
          </x14:cfRule>
          <xm:sqref>X23:Z23</xm:sqref>
        </x14:conditionalFormatting>
        <x14:conditionalFormatting xmlns:xm="http://schemas.microsoft.com/office/excel/2006/main">
          <x14:cfRule type="expression" priority="118" id="{CCA4BED7-BAB4-4ADF-AA28-07FD49861DF9}">
            <xm:f>+'5'!$T$37=0</xm:f>
            <x14:dxf>
              <fill>
                <patternFill>
                  <bgColor theme="0" tint="-0.24994659260841701"/>
                </patternFill>
              </fill>
            </x14:dxf>
          </x14:cfRule>
          <xm:sqref>AA23:AC23</xm:sqref>
        </x14:conditionalFormatting>
        <x14:conditionalFormatting xmlns:xm="http://schemas.microsoft.com/office/excel/2006/main">
          <x14:cfRule type="expression" priority="117" id="{D07899E0-C535-4C8A-B163-E53C1B242987}">
            <xm:f>+'5'!$Y$37=0</xm:f>
            <x14:dxf>
              <fill>
                <patternFill>
                  <bgColor theme="0" tint="-0.24994659260841701"/>
                </patternFill>
              </fill>
            </x14:dxf>
          </x14:cfRule>
          <xm:sqref>AD23:AF23</xm:sqref>
        </x14:conditionalFormatting>
        <x14:conditionalFormatting xmlns:xm="http://schemas.microsoft.com/office/excel/2006/main">
          <x14:cfRule type="expression" priority="116" id="{670F860E-1CCF-465E-85DB-9CAB14E2613C}">
            <xm:f>+'5'!$AD$37=0</xm:f>
            <x14:dxf>
              <fill>
                <patternFill>
                  <bgColor theme="0" tint="-0.24994659260841701"/>
                </patternFill>
              </fill>
            </x14:dxf>
          </x14:cfRule>
          <xm:sqref>AG23:AI23</xm:sqref>
        </x14:conditionalFormatting>
        <x14:conditionalFormatting xmlns:xm="http://schemas.microsoft.com/office/excel/2006/main">
          <x14:cfRule type="expression" priority="115" id="{42CDBC36-74F8-4D6E-A9BC-AAF6B23B5C6F}">
            <xm:f>+'20'!$AI$38=0</xm:f>
            <x14:dxf>
              <fill>
                <patternFill>
                  <bgColor theme="0" tint="-0.24994659260841701"/>
                </patternFill>
              </fill>
            </x14:dxf>
          </x14:cfRule>
          <xm:sqref>AJ23:AK23</xm:sqref>
        </x14:conditionalFormatting>
        <x14:conditionalFormatting xmlns:xm="http://schemas.microsoft.com/office/excel/2006/main">
          <x14:cfRule type="expression" priority="114" id="{AA60860A-F0E1-4A8F-884F-9F988C0B1F74}">
            <xm:f>+'20'!$J$38=0</xm:f>
            <x14:dxf>
              <fill>
                <patternFill>
                  <bgColor theme="0" tint="-0.24994659260841701"/>
                </patternFill>
              </fill>
            </x14:dxf>
          </x14:cfRule>
          <xm:sqref>U23:W23</xm:sqref>
        </x14:conditionalFormatting>
        <x14:conditionalFormatting xmlns:xm="http://schemas.microsoft.com/office/excel/2006/main">
          <x14:cfRule type="expression" priority="113" id="{96B7F5E9-D0A7-43C4-BD6B-89AC3C68B7B9}">
            <xm:f>+'21'!$E$36=0</xm:f>
            <x14:dxf>
              <fill>
                <patternFill>
                  <bgColor theme="0" tint="-0.24994659260841701"/>
                </patternFill>
              </fill>
            </x14:dxf>
          </x14:cfRule>
          <xm:sqref>M24:O24</xm:sqref>
        </x14:conditionalFormatting>
        <x14:conditionalFormatting xmlns:xm="http://schemas.microsoft.com/office/excel/2006/main">
          <x14:cfRule type="expression" priority="112" id="{C97ADC91-4CC6-495D-9498-6B4E4E556827}">
            <xm:f>+'21'!$E$49=0</xm:f>
            <x14:dxf>
              <fill>
                <patternFill>
                  <bgColor theme="0" tint="-0.24994659260841701"/>
                </patternFill>
              </fill>
            </x14:dxf>
          </x14:cfRule>
          <xm:sqref>P24:Q24</xm:sqref>
        </x14:conditionalFormatting>
        <x14:conditionalFormatting xmlns:xm="http://schemas.microsoft.com/office/excel/2006/main">
          <x14:cfRule type="expression" priority="111" id="{93C36070-C231-4F80-82BA-310F9D6C27E9}">
            <xm:f>+'21'!$E$66=0</xm:f>
            <x14:dxf>
              <fill>
                <patternFill>
                  <bgColor theme="0" tint="-0.24994659260841701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expression" priority="110" id="{A257932F-5BC6-40C4-B5C1-9D8BABC34596}">
            <xm:f>+'21'!$O$36=0</xm:f>
            <x14:dxf>
              <fill>
                <patternFill>
                  <bgColor theme="0" tint="-0.24994659260841701"/>
                </patternFill>
              </fill>
            </x14:dxf>
          </x14:cfRule>
          <xm:sqref>X24:Z24</xm:sqref>
        </x14:conditionalFormatting>
        <x14:conditionalFormatting xmlns:xm="http://schemas.microsoft.com/office/excel/2006/main">
          <x14:cfRule type="expression" priority="109" id="{E1E40C0D-6806-476F-93E9-D2D89C499B83}">
            <xm:f>+'6'!$T$36=0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AA24:AC24</xm:sqref>
        </x14:conditionalFormatting>
        <x14:conditionalFormatting xmlns:xm="http://schemas.microsoft.com/office/excel/2006/main">
          <x14:cfRule type="expression" priority="108" id="{C81EF434-0BCA-49A9-8B35-5CEEC5CA2F4E}">
            <xm:f>+'6'!$Y$36=0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AD24:AF24</xm:sqref>
        </x14:conditionalFormatting>
        <x14:conditionalFormatting xmlns:xm="http://schemas.microsoft.com/office/excel/2006/main">
          <x14:cfRule type="expression" priority="107" id="{D0CAF0C7-45E0-461F-A6A0-886B7AC07D96}">
            <xm:f>+'6'!$AD$36=0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AG24:AI24</xm:sqref>
        </x14:conditionalFormatting>
        <x14:conditionalFormatting xmlns:xm="http://schemas.microsoft.com/office/excel/2006/main">
          <x14:cfRule type="expression" priority="106" id="{B5C644E8-A769-41C9-93E8-97752803F912}">
            <xm:f>+'21'!$AI$36=0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AJ24:AK24</xm:sqref>
        </x14:conditionalFormatting>
        <x14:conditionalFormatting xmlns:xm="http://schemas.microsoft.com/office/excel/2006/main">
          <x14:cfRule type="expression" priority="105" id="{180E57DF-AC25-4B42-BFE5-BD3D4482CC89}">
            <xm:f>+'21'!$J$36=0</xm:f>
            <x14:dxf>
              <fill>
                <patternFill>
                  <bgColor theme="0" tint="-0.24994659260841701"/>
                </patternFill>
              </fill>
            </x14:dxf>
          </x14:cfRule>
          <xm:sqref>U24:W24</xm:sqref>
        </x14:conditionalFormatting>
        <x14:conditionalFormatting xmlns:xm="http://schemas.microsoft.com/office/excel/2006/main">
          <x14:cfRule type="expression" priority="104" id="{47978990-2BCF-4A12-997B-92DAE84F3480}">
            <xm:f>+'22'!$E$36=0</xm:f>
            <x14:dxf>
              <fill>
                <patternFill>
                  <bgColor theme="0" tint="-0.24994659260841701"/>
                </patternFill>
              </fill>
            </x14:dxf>
          </x14:cfRule>
          <xm:sqref>M25:O25</xm:sqref>
        </x14:conditionalFormatting>
        <x14:conditionalFormatting xmlns:xm="http://schemas.microsoft.com/office/excel/2006/main">
          <x14:cfRule type="expression" priority="103" id="{C9D31935-4556-465E-A2A5-AF7316EBDFD8}">
            <xm:f>+'22'!$E$49=0</xm:f>
            <x14:dxf>
              <fill>
                <patternFill>
                  <bgColor theme="0" tint="-0.24994659260841701"/>
                </patternFill>
              </fill>
            </x14:dxf>
          </x14:cfRule>
          <xm:sqref>P25:Q25</xm:sqref>
        </x14:conditionalFormatting>
        <x14:conditionalFormatting xmlns:xm="http://schemas.microsoft.com/office/excel/2006/main">
          <x14:cfRule type="expression" priority="102" id="{9586FC4C-9028-4CD0-AAA7-3271BA679DC0}">
            <xm:f>+'22'!$E$66=0</xm:f>
            <x14:dxf>
              <fill>
                <patternFill>
                  <bgColor theme="0" tint="-0.24994659260841701"/>
                </patternFill>
              </fill>
            </x14:dxf>
          </x14:cfRule>
          <xm:sqref>R25:S25</xm:sqref>
        </x14:conditionalFormatting>
        <x14:conditionalFormatting xmlns:xm="http://schemas.microsoft.com/office/excel/2006/main">
          <x14:cfRule type="expression" priority="101" id="{81B1F112-1444-4010-A1D5-56BE6BDF58C2}">
            <xm:f>+'22'!$O$36=0</xm:f>
            <x14:dxf>
              <fill>
                <patternFill>
                  <bgColor theme="0" tint="-0.24994659260841701"/>
                </patternFill>
              </fill>
            </x14:dxf>
          </x14:cfRule>
          <xm:sqref>X25:Z25</xm:sqref>
        </x14:conditionalFormatting>
        <x14:conditionalFormatting xmlns:xm="http://schemas.microsoft.com/office/excel/2006/main">
          <x14:cfRule type="expression" priority="100" id="{16F3BCC6-4CC5-462F-AFB0-2362CE4AEF34}">
            <xm:f>+'7'!$T$36=0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AA25:AC25</xm:sqref>
        </x14:conditionalFormatting>
        <x14:conditionalFormatting xmlns:xm="http://schemas.microsoft.com/office/excel/2006/main">
          <x14:cfRule type="expression" priority="99" id="{35E33053-CA1B-47A5-8600-53DB082D91C7}">
            <xm:f>+'7'!$Y$36=0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AD25:AF25</xm:sqref>
        </x14:conditionalFormatting>
        <x14:conditionalFormatting xmlns:xm="http://schemas.microsoft.com/office/excel/2006/main">
          <x14:cfRule type="expression" priority="98" id="{EC272B25-03F1-4EE3-B24C-D9385BA6142A}">
            <xm:f>+'7'!$AD$36=0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AG25:AI25</xm:sqref>
        </x14:conditionalFormatting>
        <x14:conditionalFormatting xmlns:xm="http://schemas.microsoft.com/office/excel/2006/main">
          <x14:cfRule type="expression" priority="97" id="{3731926A-2E14-4EB7-A44E-9A61915796B6}">
            <xm:f>+'22'!$AI$36=0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AJ25:AK25</xm:sqref>
        </x14:conditionalFormatting>
        <x14:conditionalFormatting xmlns:xm="http://schemas.microsoft.com/office/excel/2006/main">
          <x14:cfRule type="expression" priority="96" id="{73FF6276-3E4E-4913-B91F-FE34A76F10B9}">
            <xm:f>+'22'!$J$36=0</xm:f>
            <x14:dxf>
              <fill>
                <patternFill>
                  <bgColor theme="0" tint="-0.24994659260841701"/>
                </patternFill>
              </fill>
            </x14:dxf>
          </x14:cfRule>
          <xm:sqref>U25:W25</xm:sqref>
        </x14:conditionalFormatting>
        <x14:conditionalFormatting xmlns:xm="http://schemas.microsoft.com/office/excel/2006/main">
          <x14:cfRule type="expression" priority="95" id="{F2BB7B5C-5098-40C7-B2C4-580E7697ACC8}">
            <xm:f>+'23'!$E$36=0</xm:f>
            <x14:dxf>
              <fill>
                <patternFill>
                  <bgColor theme="0" tint="-0.24994659260841701"/>
                </patternFill>
              </fill>
            </x14:dxf>
          </x14:cfRule>
          <xm:sqref>M26:O26</xm:sqref>
        </x14:conditionalFormatting>
        <x14:conditionalFormatting xmlns:xm="http://schemas.microsoft.com/office/excel/2006/main">
          <x14:cfRule type="expression" priority="94" id="{D3022322-E9A2-4CE2-8002-6796D5B67DB1}">
            <xm:f>+'23'!$E$49=0</xm:f>
            <x14:dxf>
              <fill>
                <patternFill>
                  <bgColor theme="0" tint="-0.24994659260841701"/>
                </patternFill>
              </fill>
            </x14:dxf>
          </x14:cfRule>
          <xm:sqref>P26:Q26</xm:sqref>
        </x14:conditionalFormatting>
        <x14:conditionalFormatting xmlns:xm="http://schemas.microsoft.com/office/excel/2006/main">
          <x14:cfRule type="expression" priority="93" id="{8D314337-9D87-4DD1-949E-C87811F5E434}">
            <xm:f>+'23'!$E$66=0</xm:f>
            <x14:dxf>
              <fill>
                <patternFill>
                  <bgColor theme="0" tint="-0.24994659260841701"/>
                </patternFill>
              </fill>
            </x14:dxf>
          </x14:cfRule>
          <xm:sqref>R26:S26</xm:sqref>
        </x14:conditionalFormatting>
        <x14:conditionalFormatting xmlns:xm="http://schemas.microsoft.com/office/excel/2006/main">
          <x14:cfRule type="expression" priority="92" id="{88F7BC52-5DE7-4338-9862-646D9DE2D596}">
            <xm:f>+'8'!$O$37=0</xm:f>
            <x14:dxf>
              <fill>
                <patternFill>
                  <bgColor theme="0" tint="-0.24994659260841701"/>
                </patternFill>
              </fill>
            </x14:dxf>
          </x14:cfRule>
          <xm:sqref>X26:Z26</xm:sqref>
        </x14:conditionalFormatting>
        <x14:conditionalFormatting xmlns:xm="http://schemas.microsoft.com/office/excel/2006/main">
          <x14:cfRule type="expression" priority="91" id="{42D73EC0-4803-4593-ADC4-AE75770F3691}">
            <xm:f>+'8'!$T$37=0</xm:f>
            <x14:dxf>
              <fill>
                <patternFill>
                  <bgColor theme="0" tint="-0.24994659260841701"/>
                </patternFill>
              </fill>
            </x14:dxf>
          </x14:cfRule>
          <xm:sqref>AA26:AC26</xm:sqref>
        </x14:conditionalFormatting>
        <x14:conditionalFormatting xmlns:xm="http://schemas.microsoft.com/office/excel/2006/main">
          <x14:cfRule type="expression" priority="90" id="{7A280A55-2F6E-4E3E-8DE4-5C2B3E16D4F0}">
            <xm:f>+'8'!$Y$37=0</xm:f>
            <x14:dxf>
              <fill>
                <patternFill>
                  <bgColor theme="0" tint="-0.24994659260841701"/>
                </patternFill>
              </fill>
            </x14:dxf>
          </x14:cfRule>
          <xm:sqref>AD26:AF26</xm:sqref>
        </x14:conditionalFormatting>
        <x14:conditionalFormatting xmlns:xm="http://schemas.microsoft.com/office/excel/2006/main">
          <x14:cfRule type="expression" priority="89" id="{96386B27-9261-4C21-9B10-16883B346C86}">
            <xm:f>+'8'!$AD$37=0</xm:f>
            <x14:dxf>
              <fill>
                <patternFill>
                  <bgColor theme="0" tint="-0.24994659260841701"/>
                </patternFill>
              </fill>
            </x14:dxf>
          </x14:cfRule>
          <xm:sqref>AG26:AI26</xm:sqref>
        </x14:conditionalFormatting>
        <x14:conditionalFormatting xmlns:xm="http://schemas.microsoft.com/office/excel/2006/main">
          <x14:cfRule type="expression" priority="88" id="{A3A83EEA-B91F-4DCC-A00E-E6A28F321E64}">
            <xm:f>+'23'!$AI$36=0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AJ26:AK26</xm:sqref>
        </x14:conditionalFormatting>
        <x14:conditionalFormatting xmlns:xm="http://schemas.microsoft.com/office/excel/2006/main">
          <x14:cfRule type="expression" priority="87" id="{F74090F4-A3A1-437C-850A-8B05327FF197}">
            <xm:f>+'23'!$J$36=0</xm:f>
            <x14:dxf>
              <fill>
                <patternFill>
                  <bgColor theme="0" tint="-0.24994659260841701"/>
                </patternFill>
              </fill>
            </x14:dxf>
          </x14:cfRule>
          <xm:sqref>U26:W26</xm:sqref>
        </x14:conditionalFormatting>
        <x14:conditionalFormatting xmlns:xm="http://schemas.microsoft.com/office/excel/2006/main">
          <x14:cfRule type="expression" priority="86" id="{711A16EA-9008-429D-B36D-D6470E714256}">
            <xm:f>+'24'!$E$36=0</xm:f>
            <x14:dxf>
              <fill>
                <patternFill>
                  <bgColor theme="0" tint="-0.24994659260841701"/>
                </patternFill>
              </fill>
            </x14:dxf>
          </x14:cfRule>
          <xm:sqref>M27:O27</xm:sqref>
        </x14:conditionalFormatting>
        <x14:conditionalFormatting xmlns:xm="http://schemas.microsoft.com/office/excel/2006/main">
          <x14:cfRule type="expression" priority="85" id="{66E9C3E1-8EA2-4C35-A15F-102468A302DB}">
            <xm:f>+'24'!$E$49=0</xm:f>
            <x14:dxf>
              <fill>
                <patternFill>
                  <bgColor theme="0" tint="-0.24994659260841701"/>
                </patternFill>
              </fill>
            </x14:dxf>
          </x14:cfRule>
          <xm:sqref>P27:Q27</xm:sqref>
        </x14:conditionalFormatting>
        <x14:conditionalFormatting xmlns:xm="http://schemas.microsoft.com/office/excel/2006/main">
          <x14:cfRule type="expression" priority="84" id="{1ADF8EB8-24D7-4A68-A46F-2BFCED7A0486}">
            <xm:f>+'24'!$E$66=0</xm:f>
            <x14:dxf>
              <fill>
                <patternFill>
                  <bgColor theme="0" tint="-0.24994659260841701"/>
                </patternFill>
              </fill>
            </x14:dxf>
          </x14:cfRule>
          <xm:sqref>R27:S27</xm:sqref>
        </x14:conditionalFormatting>
        <x14:conditionalFormatting xmlns:xm="http://schemas.microsoft.com/office/excel/2006/main">
          <x14:cfRule type="expression" priority="83" id="{F21E996A-CA07-4A8E-925F-CB6E35FD4499}">
            <xm:f>+'24'!$O$36=0</xm:f>
            <x14:dxf>
              <fill>
                <patternFill>
                  <bgColor theme="0" tint="-0.24994659260841701"/>
                </patternFill>
              </fill>
            </x14:dxf>
          </x14:cfRule>
          <xm:sqref>X27:Z27</xm:sqref>
        </x14:conditionalFormatting>
        <x14:conditionalFormatting xmlns:xm="http://schemas.microsoft.com/office/excel/2006/main">
          <x14:cfRule type="expression" priority="82" id="{ADA9D34D-920A-4C4C-8033-46BF232A55DB}">
            <xm:f>+'9'!$T$36=0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AA27:AC27</xm:sqref>
        </x14:conditionalFormatting>
        <x14:conditionalFormatting xmlns:xm="http://schemas.microsoft.com/office/excel/2006/main">
          <x14:cfRule type="expression" priority="81" id="{9CFA136E-6877-4604-92AF-2DD7C3BE61BC}">
            <xm:f>+'9'!$Y$36=0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AD27:AF27</xm:sqref>
        </x14:conditionalFormatting>
        <x14:conditionalFormatting xmlns:xm="http://schemas.microsoft.com/office/excel/2006/main">
          <x14:cfRule type="expression" priority="80" id="{C47FD2C6-C5D4-4BFF-982B-0221C8EFAD55}">
            <xm:f>+'9'!$AD$36=0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AG27:AI27</xm:sqref>
        </x14:conditionalFormatting>
        <x14:conditionalFormatting xmlns:xm="http://schemas.microsoft.com/office/excel/2006/main">
          <x14:cfRule type="expression" priority="79" id="{D3DF79FA-E8A2-4CDB-BA1E-1595BC4A0275}">
            <xm:f>+'24'!$AI$36=0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AJ27:AK27</xm:sqref>
        </x14:conditionalFormatting>
        <x14:conditionalFormatting xmlns:xm="http://schemas.microsoft.com/office/excel/2006/main">
          <x14:cfRule type="expression" priority="78" id="{756B6B89-ED62-4C77-BD71-891FDE2DE532}">
            <xm:f>+'24'!$J$36=0</xm:f>
            <x14:dxf>
              <fill>
                <patternFill>
                  <bgColor theme="0" tint="-0.24994659260841701"/>
                </patternFill>
              </fill>
            </x14:dxf>
          </x14:cfRule>
          <xm:sqref>U27:W27</xm:sqref>
        </x14:conditionalFormatting>
        <x14:conditionalFormatting xmlns:xm="http://schemas.microsoft.com/office/excel/2006/main">
          <x14:cfRule type="expression" priority="77" id="{8B99087B-1E2D-4696-B5B8-F6556EFD3B64}">
            <xm:f>+'25'!$E$36=0</xm:f>
            <x14:dxf>
              <fill>
                <patternFill>
                  <bgColor theme="0" tint="-0.24994659260841701"/>
                </patternFill>
              </fill>
            </x14:dxf>
          </x14:cfRule>
          <xm:sqref>M28:O28</xm:sqref>
        </x14:conditionalFormatting>
        <x14:conditionalFormatting xmlns:xm="http://schemas.microsoft.com/office/excel/2006/main">
          <x14:cfRule type="expression" priority="76" id="{026E289E-EC6B-4E70-A2FE-CABF9C0C04EA}">
            <xm:f>+'25'!$E$49=0</xm:f>
            <x14:dxf>
              <fill>
                <patternFill>
                  <bgColor theme="0" tint="-0.24994659260841701"/>
                </patternFill>
              </fill>
            </x14:dxf>
          </x14:cfRule>
          <xm:sqref>P28:Q28</xm:sqref>
        </x14:conditionalFormatting>
        <x14:conditionalFormatting xmlns:xm="http://schemas.microsoft.com/office/excel/2006/main">
          <x14:cfRule type="expression" priority="75" id="{3FA34DD1-BECA-4B68-8A6E-12C2FE0CA670}">
            <xm:f>+'25'!$E$66=0</xm:f>
            <x14:dxf>
              <fill>
                <patternFill>
                  <bgColor theme="0" tint="-0.24994659260841701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expression" priority="74" id="{30F15160-B55E-476C-A46F-87E22012B008}">
            <xm:f>+'25'!$O$36=0</xm:f>
            <x14:dxf>
              <fill>
                <patternFill>
                  <bgColor theme="0" tint="-0.24994659260841701"/>
                </patternFill>
              </fill>
            </x14:dxf>
          </x14:cfRule>
          <xm:sqref>X28:Z28</xm:sqref>
        </x14:conditionalFormatting>
        <x14:conditionalFormatting xmlns:xm="http://schemas.microsoft.com/office/excel/2006/main">
          <x14:cfRule type="expression" priority="73" id="{4B2D98D8-0490-45CE-B549-63A81B532085}">
            <xm:f>+'10'!$T$36=0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AA28:AC28</xm:sqref>
        </x14:conditionalFormatting>
        <x14:conditionalFormatting xmlns:xm="http://schemas.microsoft.com/office/excel/2006/main">
          <x14:cfRule type="expression" priority="72" id="{DF9D881E-D275-4925-A416-A7CADA8C314D}">
            <xm:f>+'10'!$Y$36=0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AD28:AF28</xm:sqref>
        </x14:conditionalFormatting>
        <x14:conditionalFormatting xmlns:xm="http://schemas.microsoft.com/office/excel/2006/main">
          <x14:cfRule type="expression" priority="71" id="{FE221042-871D-4D07-ABD2-7778139141C7}">
            <xm:f>+'10'!$AD$36=0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AG28:AI28</xm:sqref>
        </x14:conditionalFormatting>
        <x14:conditionalFormatting xmlns:xm="http://schemas.microsoft.com/office/excel/2006/main">
          <x14:cfRule type="expression" priority="70" id="{06B055BB-3E5E-4662-8407-F451B1B3A784}">
            <xm:f>+'25'!$AI$36=0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AJ28:AK28</xm:sqref>
        </x14:conditionalFormatting>
        <x14:conditionalFormatting xmlns:xm="http://schemas.microsoft.com/office/excel/2006/main">
          <x14:cfRule type="expression" priority="69" id="{225D2DB3-DB88-4F4C-A64B-8A6EE7DBA404}">
            <xm:f>+'25'!$J$36=0</xm:f>
            <x14:dxf>
              <fill>
                <patternFill>
                  <bgColor theme="0" tint="-0.24994659260841701"/>
                </patternFill>
              </fill>
            </x14:dxf>
          </x14:cfRule>
          <xm:sqref>U28:W28</xm:sqref>
        </x14:conditionalFormatting>
        <x14:conditionalFormatting xmlns:xm="http://schemas.microsoft.com/office/excel/2006/main">
          <x14:cfRule type="expression" priority="68" id="{F5574868-0B27-43FF-84A4-5F65D53E04AA}">
            <xm:f>+'26'!$E$36=0</xm:f>
            <x14:dxf>
              <fill>
                <patternFill>
                  <bgColor theme="0" tint="-0.24994659260841701"/>
                </patternFill>
              </fill>
            </x14:dxf>
          </x14:cfRule>
          <xm:sqref>M29:O29</xm:sqref>
        </x14:conditionalFormatting>
        <x14:conditionalFormatting xmlns:xm="http://schemas.microsoft.com/office/excel/2006/main">
          <x14:cfRule type="expression" priority="67" id="{9793C1D9-AAA0-404A-B576-BB0BD42C7A1B}">
            <xm:f>+'26'!$E$49=0</xm:f>
            <x14:dxf>
              <fill>
                <patternFill>
                  <bgColor theme="0" tint="-0.24994659260841701"/>
                </patternFill>
              </fill>
            </x14:dxf>
          </x14:cfRule>
          <xm:sqref>P29:Q29</xm:sqref>
        </x14:conditionalFormatting>
        <x14:conditionalFormatting xmlns:xm="http://schemas.microsoft.com/office/excel/2006/main">
          <x14:cfRule type="expression" priority="65" id="{3FB8EA43-6D00-4F75-B4DC-5D79F84B46C1}">
            <xm:f>+'26'!$O$36=0</xm:f>
            <x14:dxf>
              <fill>
                <patternFill>
                  <bgColor theme="0" tint="-0.24994659260841701"/>
                </patternFill>
              </fill>
            </x14:dxf>
          </x14:cfRule>
          <xm:sqref>X29:Z29</xm:sqref>
        </x14:conditionalFormatting>
        <x14:conditionalFormatting xmlns:xm="http://schemas.microsoft.com/office/excel/2006/main">
          <x14:cfRule type="expression" priority="64" id="{2ACF9999-08EC-41F0-B6AC-2BC5C2150932}">
            <xm:f>+'11'!$T$36=0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AA29:AC29</xm:sqref>
        </x14:conditionalFormatting>
        <x14:conditionalFormatting xmlns:xm="http://schemas.microsoft.com/office/excel/2006/main">
          <x14:cfRule type="expression" priority="63" id="{448F5152-2F6E-42D2-ADB5-5D7DB13A3715}">
            <xm:f>+'11'!$Y$36=0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AD29:AF29</xm:sqref>
        </x14:conditionalFormatting>
        <x14:conditionalFormatting xmlns:xm="http://schemas.microsoft.com/office/excel/2006/main">
          <x14:cfRule type="expression" priority="62" id="{F8240EB9-71D3-40D1-B2A9-B6D0FCADBEF7}">
            <xm:f>+'11'!$AD$36=0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AG29:AI29</xm:sqref>
        </x14:conditionalFormatting>
        <x14:conditionalFormatting xmlns:xm="http://schemas.microsoft.com/office/excel/2006/main">
          <x14:cfRule type="expression" priority="61" id="{AA840F1A-E40E-4422-BE2F-8D0CCEB045AD}">
            <xm:f>+'26'!$AI$36=0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AJ29:AK29</xm:sqref>
        </x14:conditionalFormatting>
        <x14:conditionalFormatting xmlns:xm="http://schemas.microsoft.com/office/excel/2006/main">
          <x14:cfRule type="expression" priority="60" id="{9A89CCF4-986A-4B2A-A4D0-C10EBADA1468}">
            <xm:f>+'26'!$J$36=0</xm:f>
            <x14:dxf>
              <fill>
                <patternFill>
                  <bgColor theme="0" tint="-0.24994659260841701"/>
                </patternFill>
              </fill>
            </x14:dxf>
          </x14:cfRule>
          <xm:sqref>U29:W29</xm:sqref>
        </x14:conditionalFormatting>
        <x14:conditionalFormatting xmlns:xm="http://schemas.microsoft.com/office/excel/2006/main">
          <x14:cfRule type="expression" priority="59" id="{E13C9B10-1277-41BA-8B86-EA6F5BD1DD00}">
            <xm:f>+'27'!$E$36=0</xm:f>
            <x14:dxf>
              <fill>
                <patternFill>
                  <bgColor theme="0" tint="-0.24994659260841701"/>
                </patternFill>
              </fill>
            </x14:dxf>
          </x14:cfRule>
          <xm:sqref>M30:O30</xm:sqref>
        </x14:conditionalFormatting>
        <x14:conditionalFormatting xmlns:xm="http://schemas.microsoft.com/office/excel/2006/main">
          <x14:cfRule type="expression" priority="58" id="{802288FF-6444-4487-B11A-49966C7F5A70}">
            <xm:f>+'12'!$E$49=0</xm:f>
            <x14:dxf>
              <fill>
                <patternFill>
                  <bgColor theme="0" tint="-0.24994659260841701"/>
                </patternFill>
              </fill>
            </x14:dxf>
          </x14:cfRule>
          <xm:sqref>P30:Q30</xm:sqref>
        </x14:conditionalFormatting>
        <x14:conditionalFormatting xmlns:xm="http://schemas.microsoft.com/office/excel/2006/main">
          <x14:cfRule type="expression" priority="57" id="{A9A37B26-EBA9-4EE7-B6CE-C5F381FBB102}">
            <xm:f>+'27'!$E$66=0</xm:f>
            <x14:dxf>
              <fill>
                <patternFill>
                  <bgColor theme="0" tint="-0.24994659260841701"/>
                </patternFill>
              </fill>
            </x14:dxf>
          </x14:cfRule>
          <xm:sqref>R30:S30</xm:sqref>
        </x14:conditionalFormatting>
        <x14:conditionalFormatting xmlns:xm="http://schemas.microsoft.com/office/excel/2006/main">
          <x14:cfRule type="expression" priority="56" id="{FCB551C6-9A65-439B-9F2C-5B4C1285887E}">
            <xm:f>+'12'!$O$36=0</xm:f>
            <x14:dxf>
              <fill>
                <patternFill>
                  <bgColor theme="0" tint="-0.24994659260841701"/>
                </patternFill>
              </fill>
            </x14:dxf>
          </x14:cfRule>
          <xm:sqref>X30:Z30</xm:sqref>
        </x14:conditionalFormatting>
        <x14:conditionalFormatting xmlns:xm="http://schemas.microsoft.com/office/excel/2006/main">
          <x14:cfRule type="expression" priority="55" id="{C636191C-599D-49FE-83AD-121CA94727DA}">
            <xm:f>+'12'!$T$36=0</xm:f>
            <x14:dxf>
              <fill>
                <patternFill>
                  <bgColor theme="0" tint="-0.24994659260841701"/>
                </patternFill>
              </fill>
            </x14:dxf>
          </x14:cfRule>
          <xm:sqref>AA30:AC30</xm:sqref>
        </x14:conditionalFormatting>
        <x14:conditionalFormatting xmlns:xm="http://schemas.microsoft.com/office/excel/2006/main">
          <x14:cfRule type="expression" priority="54" id="{D464ACC9-A90F-4F45-91C2-A10C66C8299B}">
            <xm:f>+'12'!$Y$36=0</xm:f>
            <x14:dxf>
              <fill>
                <patternFill>
                  <bgColor theme="0" tint="-0.24994659260841701"/>
                </patternFill>
              </fill>
            </x14:dxf>
          </x14:cfRule>
          <xm:sqref>AD30:AF30</xm:sqref>
        </x14:conditionalFormatting>
        <x14:conditionalFormatting xmlns:xm="http://schemas.microsoft.com/office/excel/2006/main">
          <x14:cfRule type="expression" priority="53" id="{63A7F1AE-0F8A-441C-AF0C-A5054D9DCD51}">
            <xm:f>+'12'!$AD$36=0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AG30:AI30</xm:sqref>
        </x14:conditionalFormatting>
        <x14:conditionalFormatting xmlns:xm="http://schemas.microsoft.com/office/excel/2006/main">
          <x14:cfRule type="expression" priority="52" id="{9C4BEF13-BB44-4B22-B1FC-9E97ADD98420}">
            <xm:f>+'27'!$AI$36=0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AJ30:AK30</xm:sqref>
        </x14:conditionalFormatting>
        <x14:conditionalFormatting xmlns:xm="http://schemas.microsoft.com/office/excel/2006/main">
          <x14:cfRule type="expression" priority="51" id="{DCC7A60D-6D78-4358-B7FF-A51718FD9A6A}">
            <xm:f>+'27'!$J$36=0</xm:f>
            <x14:dxf>
              <fill>
                <patternFill>
                  <bgColor theme="0" tint="-0.24994659260841701"/>
                </patternFill>
              </fill>
            </x14:dxf>
          </x14:cfRule>
          <xm:sqref>U30:W30</xm:sqref>
        </x14:conditionalFormatting>
        <x14:conditionalFormatting xmlns:xm="http://schemas.microsoft.com/office/excel/2006/main">
          <x14:cfRule type="expression" priority="50" id="{8EC3CB8B-51CE-4C58-BD1A-40F51BA7040C}">
            <xm:f>+'13'!$E$36=0</xm:f>
            <x14:dxf>
              <fill>
                <patternFill>
                  <bgColor theme="0" tint="-0.24994659260841701"/>
                </patternFill>
              </fill>
            </x14:dxf>
          </x14:cfRule>
          <xm:sqref>M31:O31</xm:sqref>
        </x14:conditionalFormatting>
        <x14:conditionalFormatting xmlns:xm="http://schemas.microsoft.com/office/excel/2006/main">
          <x14:cfRule type="expression" priority="49" id="{8A0F2178-A408-488D-8CC5-53E7DBBD25E5}">
            <xm:f>+'13'!$E$49=0</xm:f>
            <x14:dxf>
              <fill>
                <patternFill>
                  <bgColor theme="0" tint="-0.24994659260841701"/>
                </patternFill>
              </fill>
            </x14:dxf>
          </x14:cfRule>
          <xm:sqref>P31:Q31</xm:sqref>
        </x14:conditionalFormatting>
        <x14:conditionalFormatting xmlns:xm="http://schemas.microsoft.com/office/excel/2006/main">
          <x14:cfRule type="expression" priority="48" id="{C18CD73F-4E9E-4464-863D-CF37D90D5936}">
            <xm:f>+'28'!$E$66=0</xm:f>
            <x14:dxf>
              <fill>
                <patternFill>
                  <bgColor theme="0" tint="-0.24994659260841701"/>
                </patternFill>
              </fill>
            </x14:dxf>
          </x14:cfRule>
          <xm:sqref>R31:S31</xm:sqref>
        </x14:conditionalFormatting>
        <x14:conditionalFormatting xmlns:xm="http://schemas.microsoft.com/office/excel/2006/main">
          <x14:cfRule type="expression" priority="47" id="{9084F5A1-174B-4C60-9E87-1B175D4B319A}">
            <xm:f>+'13'!$O$36=0</xm:f>
            <x14:dxf>
              <fill>
                <patternFill>
                  <bgColor theme="0" tint="-0.24994659260841701"/>
                </patternFill>
              </fill>
            </x14:dxf>
          </x14:cfRule>
          <xm:sqref>X31:Z31</xm:sqref>
        </x14:conditionalFormatting>
        <x14:conditionalFormatting xmlns:xm="http://schemas.microsoft.com/office/excel/2006/main">
          <x14:cfRule type="expression" priority="46" id="{F4293F82-84E6-4C1D-9A23-84C3998A659F}">
            <xm:f>+'13'!$T$36=0</xm:f>
            <x14:dxf>
              <fill>
                <patternFill>
                  <bgColor theme="0" tint="-0.24994659260841701"/>
                </patternFill>
              </fill>
            </x14:dxf>
          </x14:cfRule>
          <xm:sqref>AA31:AC31</xm:sqref>
        </x14:conditionalFormatting>
        <x14:conditionalFormatting xmlns:xm="http://schemas.microsoft.com/office/excel/2006/main">
          <x14:cfRule type="expression" priority="45" id="{3B87F54B-5A52-4A4A-9151-02CAB4DD6B84}">
            <xm:f>+'13'!$Y$36=0</xm:f>
            <x14:dxf>
              <fill>
                <patternFill>
                  <bgColor theme="0" tint="-0.24994659260841701"/>
                </patternFill>
              </fill>
            </x14:dxf>
          </x14:cfRule>
          <xm:sqref>AD31:AF31</xm:sqref>
        </x14:conditionalFormatting>
        <x14:conditionalFormatting xmlns:xm="http://schemas.microsoft.com/office/excel/2006/main">
          <x14:cfRule type="expression" priority="44" id="{B144D6B9-C2C6-4DA0-91D0-001C2F346DC0}">
            <xm:f>+'13'!$AD$36=0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AG31:AI31</xm:sqref>
        </x14:conditionalFormatting>
        <x14:conditionalFormatting xmlns:xm="http://schemas.microsoft.com/office/excel/2006/main">
          <x14:cfRule type="expression" priority="43" id="{0C8B57B5-18D2-42D1-A204-A8D61E465F8D}">
            <xm:f>+'28'!$AI$36=0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AJ31:AK31</xm:sqref>
        </x14:conditionalFormatting>
        <x14:conditionalFormatting xmlns:xm="http://schemas.microsoft.com/office/excel/2006/main">
          <x14:cfRule type="expression" priority="42" id="{78C1C61C-0426-4626-9B39-53E142E22F39}">
            <xm:f>+'13'!$J$36=0</xm:f>
            <x14:dxf>
              <fill>
                <patternFill>
                  <bgColor theme="0" tint="-0.24994659260841701"/>
                </patternFill>
              </fill>
            </x14:dxf>
          </x14:cfRule>
          <xm:sqref>U31:W31</xm:sqref>
        </x14:conditionalFormatting>
        <x14:conditionalFormatting xmlns:xm="http://schemas.microsoft.com/office/excel/2006/main">
          <x14:cfRule type="expression" priority="41" id="{939C8541-E1B0-46BC-938A-3BA69F1986F9}">
            <xm:f>+'29'!$E$36=0</xm:f>
            <x14:dxf>
              <fill>
                <patternFill>
                  <bgColor theme="0" tint="-0.24994659260841701"/>
                </patternFill>
              </fill>
            </x14:dxf>
          </x14:cfRule>
          <xm:sqref>M32:O32</xm:sqref>
        </x14:conditionalFormatting>
        <x14:conditionalFormatting xmlns:xm="http://schemas.microsoft.com/office/excel/2006/main">
          <x14:cfRule type="expression" priority="40" id="{F2877415-C2FA-475F-BE34-7FB405A38F21}">
            <xm:f>+'14'!$E$49=0</xm:f>
            <x14:dxf>
              <fill>
                <patternFill>
                  <bgColor theme="0" tint="-0.24994659260841701"/>
                </patternFill>
              </fill>
            </x14:dxf>
          </x14:cfRule>
          <xm:sqref>P32:Q32</xm:sqref>
        </x14:conditionalFormatting>
        <x14:conditionalFormatting xmlns:xm="http://schemas.microsoft.com/office/excel/2006/main">
          <x14:cfRule type="expression" priority="39" id="{410601E4-635F-4917-AB9A-CA328D14DC09}">
            <xm:f>+'29'!$E$66=0</xm:f>
            <x14:dxf>
              <fill>
                <patternFill>
                  <bgColor theme="0" tint="-0.24994659260841701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expression" priority="38" id="{580CD449-F40A-4D86-93B1-883A6AA82454}">
            <xm:f>+'29'!$O$36=0</xm:f>
            <x14:dxf>
              <fill>
                <patternFill>
                  <bgColor theme="0" tint="-0.24994659260841701"/>
                </patternFill>
              </fill>
            </x14:dxf>
          </x14:cfRule>
          <xm:sqref>X32:Z32</xm:sqref>
        </x14:conditionalFormatting>
        <x14:conditionalFormatting xmlns:xm="http://schemas.microsoft.com/office/excel/2006/main">
          <x14:cfRule type="expression" priority="37" id="{63E45A37-D4D0-4D21-BC78-243CEB70FCAB}">
            <xm:f>+'14'!$T$36=0</xm:f>
            <x14:dxf>
              <fill>
                <patternFill>
                  <bgColor theme="0" tint="-0.24994659260841701"/>
                </patternFill>
              </fill>
            </x14:dxf>
          </x14:cfRule>
          <xm:sqref>AA32:AC32</xm:sqref>
        </x14:conditionalFormatting>
        <x14:conditionalFormatting xmlns:xm="http://schemas.microsoft.com/office/excel/2006/main">
          <x14:cfRule type="expression" priority="36" id="{4EC964A4-2A68-4D6A-9EDD-7CA096198725}">
            <xm:f>+'14'!$Y$36=0</xm:f>
            <x14:dxf>
              <fill>
                <patternFill>
                  <bgColor theme="0" tint="-0.24994659260841701"/>
                </patternFill>
              </fill>
            </x14:dxf>
          </x14:cfRule>
          <xm:sqref>AD32:AF32</xm:sqref>
        </x14:conditionalFormatting>
        <x14:conditionalFormatting xmlns:xm="http://schemas.microsoft.com/office/excel/2006/main">
          <x14:cfRule type="expression" priority="35" id="{AF80042C-DB08-4B4B-A7C1-B722F15A76BA}">
            <xm:f>+'14'!$AD$36=0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AG32:AI32</xm:sqref>
        </x14:conditionalFormatting>
        <x14:conditionalFormatting xmlns:xm="http://schemas.microsoft.com/office/excel/2006/main">
          <x14:cfRule type="expression" priority="34" id="{3FCB6C1B-6FEF-4CFD-A728-0C6FEECA2422}">
            <xm:f>+'29'!$AI$36=0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AJ32:AK32</xm:sqref>
        </x14:conditionalFormatting>
        <x14:conditionalFormatting xmlns:xm="http://schemas.microsoft.com/office/excel/2006/main">
          <x14:cfRule type="expression" priority="33" id="{DC8B6B9A-F4BD-4367-9167-49773C11E92B}">
            <xm:f>+'29'!$J$36=0</xm:f>
            <x14:dxf>
              <fill>
                <patternFill>
                  <bgColor theme="0" tint="-0.24994659260841701"/>
                </patternFill>
              </fill>
            </x14:dxf>
          </x14:cfRule>
          <xm:sqref>U32:W32</xm:sqref>
        </x14:conditionalFormatting>
        <x14:conditionalFormatting xmlns:xm="http://schemas.microsoft.com/office/excel/2006/main">
          <x14:cfRule type="expression" priority="32" id="{3DC5C57C-FF7A-4BFA-A7A2-B5BC2325EE0E}">
            <xm:f>+'30'!$E$36=0</xm:f>
            <x14:dxf>
              <fill>
                <patternFill>
                  <bgColor theme="0" tint="-0.24994659260841701"/>
                </patternFill>
              </fill>
            </x14:dxf>
          </x14:cfRule>
          <xm:sqref>M33:O33</xm:sqref>
        </x14:conditionalFormatting>
        <x14:conditionalFormatting xmlns:xm="http://schemas.microsoft.com/office/excel/2006/main">
          <x14:cfRule type="expression" priority="31" id="{B92EF721-6EB1-4F59-8512-EE955A7C3DD8}">
            <xm:f>+'30'!$E$49=0</xm:f>
            <x14:dxf>
              <fill>
                <patternFill>
                  <bgColor theme="0" tint="-0.24994659260841701"/>
                </patternFill>
              </fill>
            </x14:dxf>
          </x14:cfRule>
          <xm:sqref>P33:Q33</xm:sqref>
        </x14:conditionalFormatting>
        <x14:conditionalFormatting xmlns:xm="http://schemas.microsoft.com/office/excel/2006/main">
          <x14:cfRule type="expression" priority="30" id="{154278E3-AC08-4A92-9312-60EA6718D8BE}">
            <xm:f>+'30'!$E$66=0</xm:f>
            <x14:dxf>
              <fill>
                <patternFill>
                  <bgColor theme="0" tint="-0.24994659260841701"/>
                </patternFill>
              </fill>
            </x14:dxf>
          </x14:cfRule>
          <xm:sqref>R33:S33</xm:sqref>
        </x14:conditionalFormatting>
        <x14:conditionalFormatting xmlns:xm="http://schemas.microsoft.com/office/excel/2006/main">
          <x14:cfRule type="expression" priority="29" id="{5E319626-9805-43BB-A28B-AD19B2DBC9CC}">
            <xm:f>+'30'!$O$36=0</xm:f>
            <x14:dxf>
              <fill>
                <patternFill>
                  <bgColor theme="0" tint="-0.24994659260841701"/>
                </patternFill>
              </fill>
            </x14:dxf>
          </x14:cfRule>
          <xm:sqref>X33:Z33</xm:sqref>
        </x14:conditionalFormatting>
        <x14:conditionalFormatting xmlns:xm="http://schemas.microsoft.com/office/excel/2006/main">
          <x14:cfRule type="expression" priority="28" id="{82425F0C-05E2-4884-8E86-3A43E64025F5}">
            <xm:f>+'15'!$T$36=0</xm:f>
            <x14:dxf>
              <fill>
                <patternFill>
                  <bgColor theme="0" tint="-0.24994659260841701"/>
                </patternFill>
              </fill>
            </x14:dxf>
          </x14:cfRule>
          <xm:sqref>AA33:AC33</xm:sqref>
        </x14:conditionalFormatting>
        <x14:conditionalFormatting xmlns:xm="http://schemas.microsoft.com/office/excel/2006/main">
          <x14:cfRule type="expression" priority="27" id="{DF9DA8D4-C283-4D11-A87F-329A91199A61}">
            <xm:f>+'15'!$Y$36=0</xm:f>
            <x14:dxf>
              <fill>
                <patternFill>
                  <bgColor theme="0" tint="-0.24994659260841701"/>
                </patternFill>
              </fill>
            </x14:dxf>
          </x14:cfRule>
          <xm:sqref>AD33:AF33</xm:sqref>
        </x14:conditionalFormatting>
        <x14:conditionalFormatting xmlns:xm="http://schemas.microsoft.com/office/excel/2006/main">
          <x14:cfRule type="expression" priority="26" id="{C2695DD6-8871-4D04-B63C-F57E6CE668FC}">
            <xm:f>+'15'!$AD$36=0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AG33:AI33</xm:sqref>
        </x14:conditionalFormatting>
        <x14:conditionalFormatting xmlns:xm="http://schemas.microsoft.com/office/excel/2006/main">
          <x14:cfRule type="expression" priority="25" id="{A8BACF81-2514-472A-8D13-1D94AF61A25F}">
            <xm:f>+'30'!$AI$36=0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AJ33:AK33</xm:sqref>
        </x14:conditionalFormatting>
        <x14:conditionalFormatting xmlns:xm="http://schemas.microsoft.com/office/excel/2006/main">
          <x14:cfRule type="expression" priority="24" id="{7905FCF0-C2D0-460B-9A9F-35581D7DE886}">
            <xm:f>+'30'!$J$36=0</xm:f>
            <x14:dxf>
              <fill>
                <patternFill>
                  <bgColor theme="0" tint="-0.24994659260841701"/>
                </patternFill>
              </fill>
            </x14:dxf>
          </x14:cfRule>
          <xm:sqref>U33:W33</xm:sqref>
        </x14:conditionalFormatting>
        <x14:conditionalFormatting xmlns:xm="http://schemas.microsoft.com/office/excel/2006/main">
          <x14:cfRule type="expression" priority="23" id="{5BC19B52-0DDE-455D-BC16-4A58064A0421}">
            <xm:f>+'26'!$E$66=0</xm:f>
            <x14:dxf>
              <fill>
                <patternFill>
                  <bgColor theme="0" tint="-0.24994659260841701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expression" priority="22" id="{87ABFA4E-2FC1-4F26-AC25-954C494EC4B5}">
            <xm:f>+'17'!$E$36=0</xm:f>
            <x14:dxf>
              <fill>
                <patternFill>
                  <bgColor theme="0" tint="-0.24994659260841701"/>
                </patternFill>
              </fill>
            </x14:dxf>
          </x14:cfRule>
          <xm:sqref>M20:O20</xm:sqref>
        </x14:conditionalFormatting>
        <x14:conditionalFormatting xmlns:xm="http://schemas.microsoft.com/office/excel/2006/main">
          <x14:cfRule type="expression" priority="21" id="{D5C59401-E9EF-42F4-BA24-7E512EF64C00}">
            <xm:f>+'17'!$E$49=0</xm:f>
            <x14:dxf>
              <fill>
                <patternFill>
                  <bgColor theme="0" tint="-0.24994659260841701"/>
                </patternFill>
              </fill>
            </x14:dxf>
          </x14:cfRule>
          <xm:sqref>P20:Q20</xm:sqref>
        </x14:conditionalFormatting>
        <x14:conditionalFormatting xmlns:xm="http://schemas.microsoft.com/office/excel/2006/main">
          <x14:cfRule type="expression" priority="20" id="{35708FD5-7D84-4EB2-8B66-8C562A5719D0}">
            <xm:f>+'17'!$E$66=0</xm:f>
            <x14:dxf>
              <fill>
                <patternFill>
                  <bgColor theme="0" tint="-0.24994659260841701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expression" priority="19" id="{FAA5733E-2AFC-4669-9425-28C9C3CD1A03}">
            <xm:f>+'17'!$O$36=0</xm:f>
            <x14:dxf>
              <fill>
                <patternFill>
                  <bgColor theme="0" tint="-0.24994659260841701"/>
                </patternFill>
              </fill>
            </x14:dxf>
          </x14:cfRule>
          <xm:sqref>X20:Z20</xm:sqref>
        </x14:conditionalFormatting>
        <x14:conditionalFormatting xmlns:xm="http://schemas.microsoft.com/office/excel/2006/main">
          <x14:cfRule type="expression" priority="18" id="{E46E69D9-A60B-47D4-948C-2623BEF17473}">
            <xm:f>+'2'!$T$36=0</xm:f>
            <x14:dxf>
              <fill>
                <patternFill>
                  <bgColor theme="0" tint="-0.24994659260841701"/>
                </patternFill>
              </fill>
            </x14:dxf>
          </x14:cfRule>
          <xm:sqref>AA20:AC20</xm:sqref>
        </x14:conditionalFormatting>
        <x14:conditionalFormatting xmlns:xm="http://schemas.microsoft.com/office/excel/2006/main">
          <x14:cfRule type="expression" priority="17" id="{23E906FB-B7B5-4137-9E1F-C3E5D31C66A2}">
            <xm:f>+'2'!$Y$36=0</xm:f>
            <x14:dxf>
              <fill>
                <patternFill>
                  <bgColor theme="0" tint="-0.24994659260841701"/>
                </patternFill>
              </fill>
            </x14:dxf>
          </x14:cfRule>
          <xm:sqref>AD20:AF20</xm:sqref>
        </x14:conditionalFormatting>
        <x14:conditionalFormatting xmlns:xm="http://schemas.microsoft.com/office/excel/2006/main">
          <x14:cfRule type="expression" priority="16" id="{0CB8292F-6D33-4923-8834-F767E5FCF4C4}">
            <xm:f>+'2'!$AD$36=0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AG20:AI20</xm:sqref>
        </x14:conditionalFormatting>
        <x14:conditionalFormatting xmlns:xm="http://schemas.microsoft.com/office/excel/2006/main">
          <x14:cfRule type="expression" priority="15" id="{3FFB935E-A020-4623-9936-37B6C34457B1}">
            <xm:f>+'17'!$AI$36=0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AJ20:AK20</xm:sqref>
        </x14:conditionalFormatting>
        <x14:conditionalFormatting xmlns:xm="http://schemas.microsoft.com/office/excel/2006/main">
          <x14:cfRule type="expression" priority="14" id="{59895948-E3E1-40F1-B911-FA666F3447FB}">
            <xm:f>+'17'!$J$36=0</xm:f>
            <x14:dxf>
              <fill>
                <patternFill>
                  <bgColor theme="0" tint="-0.24994659260841701"/>
                </patternFill>
              </fill>
            </x14:dxf>
          </x14:cfRule>
          <xm:sqref>U20:W20</xm:sqref>
        </x14:conditionalFormatting>
        <x14:conditionalFormatting xmlns:xm="http://schemas.microsoft.com/office/excel/2006/main">
          <x14:cfRule type="expression" priority="13" id="{E7DDBDB2-ABA0-4D47-950C-CF17B46CAF6E}">
            <xm:f>+'1'!$E$36=0</xm:f>
            <x14:dxf>
              <fill>
                <patternFill>
                  <bgColor theme="0" tint="-0.24994659260841701"/>
                </patternFill>
              </fill>
            </x14:dxf>
          </x14:cfRule>
          <xm:sqref>M4:O4</xm:sqref>
        </x14:conditionalFormatting>
        <x14:conditionalFormatting xmlns:xm="http://schemas.microsoft.com/office/excel/2006/main">
          <x14:cfRule type="expression" priority="12" id="{3EA8E421-E0B9-4D8E-AF90-B9BBF1BC6963}">
            <xm:f>+'1'!$E$49=0</xm:f>
            <x14:dxf>
              <fill>
                <patternFill>
                  <bgColor theme="0" tint="-0.24994659260841701"/>
                </patternFill>
              </fill>
            </x14:dxf>
          </x14:cfRule>
          <xm:sqref>P4:Q4</xm:sqref>
        </x14:conditionalFormatting>
        <x14:conditionalFormatting xmlns:xm="http://schemas.microsoft.com/office/excel/2006/main">
          <x14:cfRule type="expression" priority="11" id="{1CC4B8F3-30C7-4F5B-84DD-965B3CD127CE}">
            <xm:f>+'1'!$E$66=0</xm:f>
            <x14:dxf>
              <fill>
                <patternFill>
                  <bgColor theme="0" tint="-0.24994659260841701"/>
                </patternFill>
              </fill>
            </x14:dxf>
          </x14:cfRule>
          <xm:sqref>R4:S4</xm:sqref>
        </x14:conditionalFormatting>
        <x14:conditionalFormatting xmlns:xm="http://schemas.microsoft.com/office/excel/2006/main">
          <x14:cfRule type="expression" priority="10" id="{C658A195-78A1-4ADF-9DF5-68BC6E053081}">
            <xm:f>+'1'!$O$36=0</xm:f>
            <x14:dxf>
              <fill>
                <patternFill>
                  <bgColor theme="0" tint="-0.24994659260841701"/>
                </patternFill>
              </fill>
            </x14:dxf>
          </x14:cfRule>
          <xm:sqref>X4:Z4</xm:sqref>
        </x14:conditionalFormatting>
        <x14:conditionalFormatting xmlns:xm="http://schemas.microsoft.com/office/excel/2006/main">
          <x14:cfRule type="expression" priority="9" id="{410D4699-26A6-4606-B612-11BB0C5C9D4A}">
            <xm:f>+'2'!$T$36=0</xm:f>
            <x14:dxf>
              <fill>
                <patternFill>
                  <bgColor theme="0" tint="-0.24994659260841701"/>
                </patternFill>
              </fill>
            </x14:dxf>
          </x14:cfRule>
          <xm:sqref>AA4:AC4</xm:sqref>
        </x14:conditionalFormatting>
        <x14:conditionalFormatting xmlns:xm="http://schemas.microsoft.com/office/excel/2006/main">
          <x14:cfRule type="expression" priority="8" id="{D7BC94BE-4105-43C8-B156-CA14D1C3DF08}">
            <xm:f>+'2'!$Y$36=0</xm:f>
            <x14:dxf>
              <fill>
                <patternFill>
                  <bgColor theme="0" tint="-0.24994659260841701"/>
                </patternFill>
              </fill>
            </x14:dxf>
          </x14:cfRule>
          <xm:sqref>AD4:AF4</xm:sqref>
        </x14:conditionalFormatting>
        <x14:conditionalFormatting xmlns:xm="http://schemas.microsoft.com/office/excel/2006/main">
          <x14:cfRule type="expression" priority="7" id="{55C74BB6-EE7A-455F-93B5-F69F2F0BD33A}">
            <xm:f>+'2'!$AD$36=0</xm:f>
            <x14:dxf>
              <fill>
                <patternFill>
                  <bgColor theme="0" tint="-0.24994659260841701"/>
                </patternFill>
              </fill>
            </x14:dxf>
          </x14:cfRule>
          <xm:sqref>AG4:AI4</xm:sqref>
        </x14:conditionalFormatting>
        <x14:conditionalFormatting xmlns:xm="http://schemas.microsoft.com/office/excel/2006/main">
          <x14:cfRule type="expression" priority="6" id="{C2FE5000-9FCE-4B43-B890-75DA7234D0B3}">
            <xm:f>+'1'!$AI$36=0</xm:f>
            <x14:dxf>
              <fill>
                <patternFill>
                  <bgColor theme="0" tint="-0.24994659260841701"/>
                </patternFill>
              </fill>
            </x14:dxf>
          </x14:cfRule>
          <xm:sqref>AK4</xm:sqref>
        </x14:conditionalFormatting>
        <x14:conditionalFormatting xmlns:xm="http://schemas.microsoft.com/office/excel/2006/main">
          <x14:cfRule type="expression" priority="5" id="{BCBE7240-8BFE-4C86-891D-77D15AC75CC4}">
            <xm:f>+'1'!$J$36=0</xm:f>
            <x14:dxf>
              <fill>
                <patternFill>
                  <bgColor theme="0" tint="-0.24994659260841701"/>
                </patternFill>
              </fill>
            </x14:dxf>
          </x14:cfRule>
          <xm:sqref>U4:W4</xm:sqref>
        </x14:conditionalFormatting>
        <x14:conditionalFormatting xmlns:xm="http://schemas.microsoft.com/office/excel/2006/main">
          <x14:cfRule type="expression" priority="4" id="{75323672-C59E-43F8-974A-DCA343538370}">
            <xm:f>+'1'!$AI$36=0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AJ4</xm:sqref>
        </x14:conditionalFormatting>
        <x14:conditionalFormatting xmlns:xm="http://schemas.microsoft.com/office/excel/2006/main">
          <x14:cfRule type="expression" priority="3" id="{35D49BC4-8F69-4F61-B9A3-9B364992E015}">
            <xm:f>+'2'!$AI$36=0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AJ5</xm:sqref>
        </x14:conditionalFormatting>
        <x14:conditionalFormatting xmlns:xm="http://schemas.microsoft.com/office/excel/2006/main">
          <x14:cfRule type="expression" priority="2" id="{3FCA92C6-74C0-430C-A353-3FF048CF6CB1}">
            <xm:f>+'3'!$AI$36=0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AJ6</xm:sqref>
        </x14:conditionalFormatting>
        <x14:conditionalFormatting xmlns:xm="http://schemas.microsoft.com/office/excel/2006/main">
          <x14:cfRule type="expression" priority="1" id="{121E94C4-451E-4DFD-A871-9033051B2387}">
            <xm:f>+'4'!$AI$36=0</xm:f>
            <x14:dxf>
              <fill>
                <patternFill>
                  <bgColor theme="0" tint="-0.24994659260841701"/>
                </patternFill>
              </fill>
            </x14:dxf>
          </x14:cfRule>
          <xm:sqref>AJ7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zoomScaleNormal="100" workbookViewId="0"/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customWidth="1"/>
    <col min="12" max="12" width="45.6640625" customWidth="1"/>
    <col min="13" max="15" width="12.6640625" customWidth="1"/>
    <col min="16" max="16" width="1.6640625" customWidth="1"/>
    <col min="17" max="17" width="45.6640625" customWidth="1"/>
    <col min="18" max="20" width="12.6640625" customWidth="1"/>
    <col min="21" max="21" width="1.6640625" customWidth="1"/>
    <col min="22" max="22" width="45.6640625" customWidth="1"/>
    <col min="23" max="25" width="12.6640625" customWidth="1"/>
    <col min="26" max="26" width="1.6640625" customWidth="1"/>
    <col min="27" max="27" width="45.6640625" customWidth="1"/>
    <col min="28" max="30" width="12.6640625" customWidth="1"/>
    <col min="31" max="31" width="1.6640625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Riassunto!D29</f>
        <v>Associazioni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+Riassunto!L29</f>
        <v>570</v>
      </c>
      <c r="D2" s="306"/>
      <c r="E2" s="306"/>
    </row>
    <row r="3" spans="1:36" x14ac:dyDescent="0.3">
      <c r="A3" s="5"/>
      <c r="B3" s="5" t="s">
        <v>17</v>
      </c>
      <c r="C3" s="307">
        <f>Riassunto!I29</f>
        <v>23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40.350877192982459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40.350877192982459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23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12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12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2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2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/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 t="s">
        <v>90</v>
      </c>
      <c r="C34" s="66">
        <v>1</v>
      </c>
      <c r="D34" s="67">
        <v>0.08</v>
      </c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36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  <c r="AF42" s="65"/>
    </row>
    <row r="43" spans="1:36" x14ac:dyDescent="0.3">
      <c r="A43" s="24"/>
      <c r="B43" s="76"/>
      <c r="C43" s="65"/>
      <c r="D43" s="25"/>
      <c r="E43" s="64">
        <f t="shared" si="10"/>
        <v>0</v>
      </c>
      <c r="AF43" s="65"/>
    </row>
    <row r="44" spans="1:36" x14ac:dyDescent="0.3">
      <c r="B44" s="76"/>
      <c r="C44" s="65"/>
      <c r="D44" s="25"/>
      <c r="E44" s="64">
        <f t="shared" si="10"/>
        <v>0</v>
      </c>
      <c r="AF44" s="65"/>
    </row>
    <row r="45" spans="1:36" x14ac:dyDescent="0.3">
      <c r="B45" s="76"/>
      <c r="C45" s="65"/>
      <c r="D45" s="25"/>
      <c r="E45" s="64">
        <f t="shared" si="10"/>
        <v>0</v>
      </c>
      <c r="AF45" s="65"/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  <c r="AF46" s="65"/>
    </row>
    <row r="47" spans="1:36" x14ac:dyDescent="0.3">
      <c r="B47" s="13" t="s">
        <v>90</v>
      </c>
      <c r="C47" s="65"/>
      <c r="D47" s="67">
        <v>0.05</v>
      </c>
      <c r="E47" s="64">
        <f>SUM(E38:E46)*D47</f>
        <v>0</v>
      </c>
      <c r="AF47" s="65"/>
    </row>
    <row r="48" spans="1:36" x14ac:dyDescent="0.3">
      <c r="B48" s="13" t="s">
        <v>23</v>
      </c>
      <c r="D48" s="25">
        <v>0</v>
      </c>
      <c r="E48" s="64">
        <f>+D48*C48</f>
        <v>0</v>
      </c>
      <c r="AF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F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F50" s="6"/>
      <c r="AH50" s="8"/>
      <c r="AI50" s="10"/>
    </row>
    <row r="51" spans="1:35" x14ac:dyDescent="0.3">
      <c r="B51" s="303" t="s">
        <v>12</v>
      </c>
      <c r="C51" s="303"/>
      <c r="D51" s="303"/>
      <c r="E51" s="303"/>
      <c r="AF51" s="65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2"/>
      <c r="C53" s="65"/>
      <c r="D53" s="25"/>
      <c r="E53" s="64">
        <f t="shared" ref="E53:E63" si="11">+D53*C53</f>
        <v>0</v>
      </c>
      <c r="AF53" s="65"/>
    </row>
    <row r="54" spans="1:35" x14ac:dyDescent="0.3">
      <c r="B54" s="12"/>
      <c r="C54" s="65"/>
      <c r="D54" s="25"/>
      <c r="E54" s="64">
        <f t="shared" si="11"/>
        <v>0</v>
      </c>
      <c r="AF54" s="66"/>
    </row>
    <row r="55" spans="1:35" x14ac:dyDescent="0.3">
      <c r="B55" s="76"/>
      <c r="C55" s="65"/>
      <c r="D55" s="25"/>
      <c r="E55" s="64">
        <f t="shared" si="11"/>
        <v>0</v>
      </c>
      <c r="AF55" s="66"/>
    </row>
    <row r="56" spans="1:35" x14ac:dyDescent="0.3">
      <c r="B56" s="12"/>
      <c r="C56" s="65"/>
      <c r="D56" s="25"/>
      <c r="E56" s="64">
        <f t="shared" si="11"/>
        <v>0</v>
      </c>
    </row>
    <row r="57" spans="1:35" x14ac:dyDescent="0.3">
      <c r="B57" s="12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2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12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/>
      <c r="D63" s="25">
        <v>30</v>
      </c>
      <c r="E63" s="64">
        <f t="shared" si="11"/>
        <v>0</v>
      </c>
    </row>
    <row r="64" spans="1:35" x14ac:dyDescent="0.3">
      <c r="B64" s="13" t="s">
        <v>90</v>
      </c>
      <c r="C64" s="65"/>
      <c r="D64" s="67">
        <v>0.05</v>
      </c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1"/>
  <sheetViews>
    <sheetView zoomScaleNormal="100" workbookViewId="0"/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customWidth="1"/>
    <col min="12" max="12" width="45.6640625" customWidth="1"/>
    <col min="13" max="15" width="12.6640625" customWidth="1"/>
    <col min="16" max="16" width="1.6640625" customWidth="1"/>
    <col min="17" max="17" width="45.6640625" customWidth="1"/>
    <col min="18" max="20" width="12.6640625" customWidth="1"/>
    <col min="21" max="21" width="1.6640625" customWidth="1"/>
    <col min="22" max="22" width="45.6640625" customWidth="1"/>
    <col min="23" max="25" width="12.6640625" customWidth="1"/>
    <col min="26" max="26" width="1.6640625" customWidth="1"/>
    <col min="27" max="27" width="45.6640625" customWidth="1"/>
    <col min="28" max="30" width="12.6640625" customWidth="1"/>
    <col min="31" max="31" width="1.6640625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Riassunto!D30</f>
        <v>Ex Canonica Di Marendole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+Riassunto!L30</f>
        <v>1031.5999999999999</v>
      </c>
      <c r="D2" s="306"/>
      <c r="E2" s="306"/>
    </row>
    <row r="3" spans="1:36" x14ac:dyDescent="0.3">
      <c r="A3" s="5"/>
      <c r="B3" s="5" t="s">
        <v>17</v>
      </c>
      <c r="C3" s="307">
        <f>Riassunto!I30</f>
        <v>34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32.958511050794883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32.958511050794883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34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12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12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2"/>
      <c r="C26" s="65"/>
      <c r="D26" s="25"/>
      <c r="E26" s="64"/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2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41" x14ac:dyDescent="0.3">
      <c r="B33" s="12" t="s">
        <v>53</v>
      </c>
      <c r="C33" s="65"/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41" x14ac:dyDescent="0.3">
      <c r="B34" s="13" t="s">
        <v>90</v>
      </c>
      <c r="C34" s="66">
        <v>1</v>
      </c>
      <c r="D34" s="67">
        <v>0.08</v>
      </c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  <c r="AO34" s="65"/>
    </row>
    <row r="35" spans="1:41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  <c r="AO35" s="65"/>
    </row>
    <row r="36" spans="1:41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  <c r="AO36" s="65"/>
    </row>
    <row r="37" spans="1:41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  <c r="AO37" s="65"/>
    </row>
    <row r="38" spans="1:41" x14ac:dyDescent="0.3">
      <c r="B38" s="311" t="s">
        <v>33</v>
      </c>
      <c r="C38" s="311"/>
      <c r="D38" s="311"/>
      <c r="E38" s="311"/>
      <c r="AO38" s="65"/>
    </row>
    <row r="39" spans="1:41" x14ac:dyDescent="0.3">
      <c r="B39" s="21" t="s">
        <v>0</v>
      </c>
      <c r="C39" s="21" t="s">
        <v>87</v>
      </c>
      <c r="D39" s="21" t="s">
        <v>88</v>
      </c>
      <c r="E39" s="21" t="s">
        <v>89</v>
      </c>
      <c r="AO39" s="65"/>
    </row>
    <row r="40" spans="1:41" x14ac:dyDescent="0.3">
      <c r="B40" s="76"/>
      <c r="C40" s="65"/>
      <c r="D40" s="25"/>
      <c r="E40" s="64">
        <f t="shared" ref="E40:E46" si="10">+D40*C40</f>
        <v>0</v>
      </c>
      <c r="AO40" s="65"/>
    </row>
    <row r="41" spans="1:41" x14ac:dyDescent="0.3">
      <c r="A41" s="24"/>
      <c r="B41" s="76"/>
      <c r="C41" s="65"/>
      <c r="D41" s="25"/>
      <c r="E41" s="64">
        <f t="shared" si="10"/>
        <v>0</v>
      </c>
      <c r="AO41" s="65"/>
    </row>
    <row r="42" spans="1:41" x14ac:dyDescent="0.3">
      <c r="A42" s="24"/>
      <c r="B42" s="76"/>
      <c r="C42" s="65"/>
      <c r="D42" s="25"/>
      <c r="E42" s="64">
        <f t="shared" si="10"/>
        <v>0</v>
      </c>
      <c r="AO42" s="6"/>
    </row>
    <row r="43" spans="1:41" x14ac:dyDescent="0.3">
      <c r="A43" s="24"/>
      <c r="B43" s="76"/>
      <c r="C43" s="65"/>
      <c r="D43" s="25"/>
      <c r="E43" s="64">
        <f t="shared" si="10"/>
        <v>0</v>
      </c>
      <c r="AO43" s="65"/>
    </row>
    <row r="44" spans="1:41" x14ac:dyDescent="0.3">
      <c r="B44" s="76"/>
      <c r="C44" s="65"/>
      <c r="D44" s="25"/>
      <c r="E44" s="64">
        <f t="shared" si="10"/>
        <v>0</v>
      </c>
    </row>
    <row r="45" spans="1:41" x14ac:dyDescent="0.3">
      <c r="B45" s="76"/>
      <c r="C45" s="65"/>
      <c r="D45" s="25"/>
      <c r="E45" s="64">
        <f t="shared" si="10"/>
        <v>0</v>
      </c>
      <c r="AO45" s="65"/>
    </row>
    <row r="46" spans="1:41" x14ac:dyDescent="0.3">
      <c r="B46" s="12" t="s">
        <v>53</v>
      </c>
      <c r="C46" s="65">
        <v>0</v>
      </c>
      <c r="D46" s="25">
        <v>30</v>
      </c>
      <c r="E46" s="64">
        <f t="shared" si="10"/>
        <v>0</v>
      </c>
      <c r="AO46" s="66"/>
    </row>
    <row r="47" spans="1:41" x14ac:dyDescent="0.3">
      <c r="B47" s="13" t="s">
        <v>90</v>
      </c>
      <c r="C47" s="65"/>
      <c r="D47" s="67">
        <v>0.05</v>
      </c>
      <c r="E47" s="64">
        <f>SUM(E38:E46)*D47</f>
        <v>0</v>
      </c>
      <c r="AO47" s="66"/>
    </row>
    <row r="48" spans="1:41" x14ac:dyDescent="0.3">
      <c r="B48" s="13" t="s">
        <v>23</v>
      </c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2"/>
      <c r="C53" s="65"/>
      <c r="D53" s="25"/>
      <c r="E53" s="64">
        <f t="shared" ref="E53:E63" si="11">+D53*C53</f>
        <v>0</v>
      </c>
    </row>
    <row r="54" spans="1:35" x14ac:dyDescent="0.3">
      <c r="B54" s="12"/>
      <c r="C54" s="65"/>
      <c r="D54" s="25"/>
      <c r="E54" s="64">
        <f t="shared" si="11"/>
        <v>0</v>
      </c>
    </row>
    <row r="55" spans="1:35" x14ac:dyDescent="0.3">
      <c r="B55" s="76"/>
      <c r="C55" s="65"/>
      <c r="D55" s="25"/>
      <c r="E55" s="64">
        <f t="shared" si="11"/>
        <v>0</v>
      </c>
    </row>
    <row r="56" spans="1:35" x14ac:dyDescent="0.3">
      <c r="B56" s="12"/>
      <c r="C56" s="65"/>
      <c r="D56" s="25"/>
      <c r="E56" s="64">
        <f t="shared" si="11"/>
        <v>0</v>
      </c>
    </row>
    <row r="57" spans="1:35" x14ac:dyDescent="0.3">
      <c r="B57" s="12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2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12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/>
      <c r="D63" s="25">
        <v>30</v>
      </c>
      <c r="E63" s="64">
        <f t="shared" si="11"/>
        <v>0</v>
      </c>
    </row>
    <row r="64" spans="1:35" x14ac:dyDescent="0.3">
      <c r="B64" s="13" t="s">
        <v>90</v>
      </c>
      <c r="C64" s="65"/>
      <c r="D64" s="67">
        <v>0.05</v>
      </c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1"/>
  <sheetViews>
    <sheetView zoomScaleNormal="100" workbookViewId="0"/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customWidth="1"/>
    <col min="12" max="12" width="45.6640625" customWidth="1"/>
    <col min="13" max="15" width="12.6640625" customWidth="1"/>
    <col min="16" max="16" width="1.6640625" customWidth="1"/>
    <col min="17" max="17" width="45.6640625" customWidth="1"/>
    <col min="18" max="20" width="12.6640625" customWidth="1"/>
    <col min="21" max="21" width="1.6640625" customWidth="1"/>
    <col min="22" max="22" width="45.6640625" customWidth="1"/>
    <col min="23" max="25" width="12.6640625" customWidth="1"/>
    <col min="26" max="26" width="1.6640625" customWidth="1"/>
    <col min="27" max="27" width="45.6640625" customWidth="1"/>
    <col min="28" max="30" width="12.6640625" customWidth="1"/>
    <col min="31" max="31" width="1.6640625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>
        <f>Riassunto!D31</f>
        <v>0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+Riassunto!L31</f>
        <v>0</v>
      </c>
      <c r="D2" s="306"/>
      <c r="E2" s="306"/>
    </row>
    <row r="3" spans="1:36" x14ac:dyDescent="0.3">
      <c r="A3" s="5"/>
      <c r="B3" s="5" t="s">
        <v>17</v>
      </c>
      <c r="C3" s="307">
        <f>Riassunto!I31</f>
        <v>0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 t="e">
        <f>+(C3-C4)*1000/C2</f>
        <v>#DIV/0!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 t="e">
        <f>+C5*(1-C14)</f>
        <v>#DIV/0!</v>
      </c>
      <c r="D17" s="70"/>
      <c r="E17" t="s">
        <v>20</v>
      </c>
    </row>
    <row r="18" spans="1:36" x14ac:dyDescent="0.3">
      <c r="A18" s="5"/>
      <c r="B18" s="5" t="s">
        <v>92</v>
      </c>
      <c r="C18" s="71" t="e">
        <f>+(C17*$C$2/1000)+$C$4</f>
        <v>#DIV/0!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76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76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76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40" x14ac:dyDescent="0.3">
      <c r="B33" s="12" t="s">
        <v>53</v>
      </c>
      <c r="C33" s="65">
        <v>0</v>
      </c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40" x14ac:dyDescent="0.3">
      <c r="B34" s="13" t="s">
        <v>90</v>
      </c>
      <c r="C34" s="66">
        <v>1</v>
      </c>
      <c r="D34" s="67">
        <v>0.08</v>
      </c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40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40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40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40" x14ac:dyDescent="0.3">
      <c r="B38" s="311" t="s">
        <v>33</v>
      </c>
      <c r="C38" s="311"/>
      <c r="D38" s="311"/>
      <c r="E38" s="311"/>
      <c r="AN38" s="65"/>
    </row>
    <row r="39" spans="1:40" x14ac:dyDescent="0.3">
      <c r="B39" s="21" t="s">
        <v>0</v>
      </c>
      <c r="C39" s="21" t="s">
        <v>87</v>
      </c>
      <c r="D39" s="21" t="s">
        <v>88</v>
      </c>
      <c r="E39" s="21" t="s">
        <v>89</v>
      </c>
      <c r="AN39" s="65"/>
    </row>
    <row r="40" spans="1:40" x14ac:dyDescent="0.3">
      <c r="B40" s="76"/>
      <c r="C40" s="65"/>
      <c r="D40" s="25"/>
      <c r="E40" s="64">
        <f t="shared" ref="E40:E46" si="10">+D40*C40</f>
        <v>0</v>
      </c>
      <c r="AN40" s="65"/>
    </row>
    <row r="41" spans="1:40" x14ac:dyDescent="0.3">
      <c r="A41" s="24"/>
      <c r="B41" s="76"/>
      <c r="C41" s="65"/>
      <c r="D41" s="25"/>
      <c r="E41" s="64">
        <f t="shared" si="10"/>
        <v>0</v>
      </c>
      <c r="AN41" s="65"/>
    </row>
    <row r="42" spans="1:40" x14ac:dyDescent="0.3">
      <c r="A42" s="24"/>
      <c r="B42" s="76"/>
      <c r="C42" s="65"/>
      <c r="D42" s="25"/>
      <c r="E42" s="64">
        <f t="shared" si="10"/>
        <v>0</v>
      </c>
      <c r="AN42" s="65"/>
    </row>
    <row r="43" spans="1:40" x14ac:dyDescent="0.3">
      <c r="A43" s="24"/>
      <c r="B43" s="76"/>
      <c r="C43" s="65"/>
      <c r="D43" s="25"/>
      <c r="E43" s="64">
        <f t="shared" si="10"/>
        <v>0</v>
      </c>
      <c r="AN43" s="65"/>
    </row>
    <row r="44" spans="1:40" x14ac:dyDescent="0.3">
      <c r="B44" s="76"/>
      <c r="C44" s="65"/>
      <c r="D44" s="25"/>
      <c r="E44" s="64">
        <f t="shared" si="10"/>
        <v>0</v>
      </c>
      <c r="AN44" s="65"/>
    </row>
    <row r="45" spans="1:40" x14ac:dyDescent="0.3">
      <c r="B45" s="76"/>
      <c r="C45" s="65"/>
      <c r="D45" s="25"/>
      <c r="E45" s="64">
        <f t="shared" si="10"/>
        <v>0</v>
      </c>
      <c r="AN45" s="65"/>
    </row>
    <row r="46" spans="1:40" x14ac:dyDescent="0.3">
      <c r="B46" s="12" t="s">
        <v>53</v>
      </c>
      <c r="C46" s="65"/>
      <c r="D46" s="25">
        <v>30</v>
      </c>
      <c r="E46" s="64">
        <f t="shared" si="10"/>
        <v>0</v>
      </c>
      <c r="AN46" s="6"/>
    </row>
    <row r="47" spans="1:40" x14ac:dyDescent="0.3">
      <c r="B47" s="13" t="s">
        <v>90</v>
      </c>
      <c r="C47" s="65"/>
      <c r="D47" s="67">
        <v>0.05</v>
      </c>
      <c r="E47" s="64">
        <f>SUM(E38:E46)*D47</f>
        <v>0</v>
      </c>
      <c r="AN47" s="65"/>
    </row>
    <row r="48" spans="1:40" x14ac:dyDescent="0.3">
      <c r="B48" s="13" t="s">
        <v>23</v>
      </c>
      <c r="D48" s="25">
        <v>0</v>
      </c>
      <c r="E48" s="64">
        <f>+D48*C48</f>
        <v>0</v>
      </c>
    </row>
    <row r="49" spans="1:40" x14ac:dyDescent="0.3">
      <c r="B49" s="304" t="s">
        <v>22</v>
      </c>
      <c r="C49" s="304"/>
      <c r="D49" s="304"/>
      <c r="E49" s="26">
        <f>SUM(E38:E48)</f>
        <v>0</v>
      </c>
      <c r="AN49" s="65"/>
    </row>
    <row r="50" spans="1:40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  <c r="AN50" s="66"/>
    </row>
    <row r="51" spans="1:40" x14ac:dyDescent="0.3">
      <c r="B51" s="303" t="s">
        <v>12</v>
      </c>
      <c r="C51" s="303"/>
      <c r="D51" s="303"/>
      <c r="E51" s="303"/>
      <c r="AN51" s="66"/>
    </row>
    <row r="52" spans="1:40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40" x14ac:dyDescent="0.3">
      <c r="A53" s="24"/>
      <c r="B53" s="76"/>
      <c r="C53" s="65"/>
      <c r="D53" s="25"/>
      <c r="E53" s="64">
        <f t="shared" ref="E53:E63" si="11">+D53*C53</f>
        <v>0</v>
      </c>
    </row>
    <row r="54" spans="1:40" x14ac:dyDescent="0.3">
      <c r="B54" s="76"/>
      <c r="C54" s="65"/>
      <c r="D54" s="25"/>
      <c r="E54" s="64">
        <f t="shared" si="11"/>
        <v>0</v>
      </c>
    </row>
    <row r="55" spans="1:40" x14ac:dyDescent="0.3">
      <c r="B55" s="76"/>
      <c r="C55" s="65"/>
      <c r="D55" s="25"/>
      <c r="E55" s="64">
        <f t="shared" si="11"/>
        <v>0</v>
      </c>
    </row>
    <row r="56" spans="1:40" x14ac:dyDescent="0.3">
      <c r="B56" s="76"/>
      <c r="C56" s="65"/>
      <c r="D56" s="25"/>
      <c r="E56" s="64">
        <f t="shared" si="11"/>
        <v>0</v>
      </c>
    </row>
    <row r="57" spans="1:40" x14ac:dyDescent="0.3">
      <c r="B57" s="76"/>
      <c r="C57" s="65"/>
      <c r="D57" s="25"/>
      <c r="E57" s="64">
        <f t="shared" si="11"/>
        <v>0</v>
      </c>
    </row>
    <row r="58" spans="1:40" x14ac:dyDescent="0.3">
      <c r="B58" s="76"/>
      <c r="C58" s="65"/>
      <c r="D58" s="25"/>
      <c r="E58" s="64">
        <f t="shared" si="11"/>
        <v>0</v>
      </c>
    </row>
    <row r="59" spans="1:40" x14ac:dyDescent="0.3">
      <c r="B59" s="76"/>
      <c r="C59" s="65"/>
      <c r="D59" s="25"/>
      <c r="E59" s="64">
        <f t="shared" si="11"/>
        <v>0</v>
      </c>
    </row>
    <row r="60" spans="1:40" x14ac:dyDescent="0.3">
      <c r="B60" s="12" t="s">
        <v>96</v>
      </c>
      <c r="C60" s="65"/>
      <c r="D60" s="25">
        <v>100</v>
      </c>
      <c r="E60" s="64">
        <f t="shared" si="11"/>
        <v>0</v>
      </c>
    </row>
    <row r="61" spans="1:40" x14ac:dyDescent="0.3">
      <c r="B61" s="76" t="s">
        <v>95</v>
      </c>
      <c r="D61" s="25">
        <v>200</v>
      </c>
      <c r="E61" s="64">
        <f t="shared" si="11"/>
        <v>0</v>
      </c>
    </row>
    <row r="62" spans="1:40" x14ac:dyDescent="0.3">
      <c r="B62" s="12" t="s">
        <v>84</v>
      </c>
      <c r="C62" s="65"/>
      <c r="D62" s="25"/>
      <c r="E62" s="64">
        <f t="shared" si="11"/>
        <v>0</v>
      </c>
    </row>
    <row r="63" spans="1:40" x14ac:dyDescent="0.3">
      <c r="B63" s="12" t="s">
        <v>53</v>
      </c>
      <c r="C63"/>
      <c r="D63" s="25">
        <v>30</v>
      </c>
      <c r="E63" s="64">
        <f t="shared" si="11"/>
        <v>0</v>
      </c>
    </row>
    <row r="64" spans="1:40" x14ac:dyDescent="0.3">
      <c r="B64" s="13" t="s">
        <v>90</v>
      </c>
      <c r="C64" s="65"/>
      <c r="D64" s="67">
        <v>0.05</v>
      </c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1"/>
  <sheetViews>
    <sheetView zoomScaleNormal="100" workbookViewId="0"/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customWidth="1"/>
    <col min="12" max="12" width="45.6640625" customWidth="1"/>
    <col min="13" max="15" width="12.6640625" customWidth="1"/>
    <col min="16" max="16" width="1.6640625" customWidth="1"/>
    <col min="17" max="17" width="45.6640625" customWidth="1"/>
    <col min="18" max="20" width="12.6640625" customWidth="1"/>
    <col min="21" max="21" width="1.6640625" customWidth="1"/>
    <col min="22" max="22" width="45.6640625" customWidth="1"/>
    <col min="23" max="25" width="12.6640625" customWidth="1"/>
    <col min="26" max="26" width="1.6640625" customWidth="1"/>
    <col min="27" max="27" width="45.6640625" customWidth="1"/>
    <col min="28" max="30" width="12.6640625" customWidth="1"/>
    <col min="31" max="31" width="1.6640625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>
        <f>Riassunto!D32</f>
        <v>0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+Riassunto!L32</f>
        <v>0</v>
      </c>
      <c r="D2" s="306"/>
      <c r="E2" s="306"/>
    </row>
    <row r="3" spans="1:36" x14ac:dyDescent="0.3">
      <c r="A3" s="5"/>
      <c r="B3" s="5" t="s">
        <v>17</v>
      </c>
      <c r="C3" s="307">
        <f>Riassunto!I32</f>
        <v>0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 t="e">
        <f>+(C3-C4)*1000/C2</f>
        <v>#DIV/0!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 t="e">
        <f>+C5*(1-C14)</f>
        <v>#DIV/0!</v>
      </c>
      <c r="D17" s="70"/>
      <c r="E17" t="s">
        <v>20</v>
      </c>
    </row>
    <row r="18" spans="1:36" x14ac:dyDescent="0.3">
      <c r="A18" s="5"/>
      <c r="B18" s="5" t="s">
        <v>92</v>
      </c>
      <c r="C18" s="71" t="e">
        <f>+(C17*$C$2/1000)+$C$4</f>
        <v>#DIV/0!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76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76"/>
      <c r="C23" s="65"/>
      <c r="D23" s="25"/>
      <c r="E23" s="64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76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76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41" x14ac:dyDescent="0.3">
      <c r="B33" s="12" t="s">
        <v>53</v>
      </c>
      <c r="C33" s="65">
        <v>0</v>
      </c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41" x14ac:dyDescent="0.3">
      <c r="B34" s="13" t="s">
        <v>90</v>
      </c>
      <c r="C34" s="66">
        <v>1</v>
      </c>
      <c r="D34" s="67">
        <v>0.08</v>
      </c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41" x14ac:dyDescent="0.3">
      <c r="B35" s="13" t="s">
        <v>23</v>
      </c>
      <c r="C35" s="66">
        <v>1</v>
      </c>
      <c r="D35" s="25">
        <v>0</v>
      </c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41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  <c r="AO36" s="65"/>
    </row>
    <row r="37" spans="1:41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  <c r="AO37" s="65"/>
    </row>
    <row r="38" spans="1:41" x14ac:dyDescent="0.3">
      <c r="B38" s="311" t="s">
        <v>33</v>
      </c>
      <c r="C38" s="311"/>
      <c r="D38" s="311"/>
      <c r="E38" s="311"/>
      <c r="AO38" s="65"/>
    </row>
    <row r="39" spans="1:41" x14ac:dyDescent="0.3">
      <c r="B39" s="21" t="s">
        <v>0</v>
      </c>
      <c r="C39" s="21" t="s">
        <v>87</v>
      </c>
      <c r="D39" s="21" t="s">
        <v>88</v>
      </c>
      <c r="E39" s="21" t="s">
        <v>89</v>
      </c>
      <c r="AO39" s="65"/>
    </row>
    <row r="40" spans="1:41" x14ac:dyDescent="0.3">
      <c r="B40" s="76"/>
      <c r="C40" s="65"/>
      <c r="D40" s="25"/>
      <c r="E40" s="64">
        <f t="shared" ref="E40:E46" si="10">+D40*C40</f>
        <v>0</v>
      </c>
      <c r="AO40" s="65"/>
    </row>
    <row r="41" spans="1:41" x14ac:dyDescent="0.3">
      <c r="A41" s="24"/>
      <c r="B41" s="76"/>
      <c r="C41" s="65"/>
      <c r="D41" s="25"/>
      <c r="E41" s="64">
        <f t="shared" si="10"/>
        <v>0</v>
      </c>
      <c r="AO41" s="65"/>
    </row>
    <row r="42" spans="1:41" x14ac:dyDescent="0.3">
      <c r="A42" s="24"/>
      <c r="B42" s="76"/>
      <c r="C42" s="65"/>
      <c r="D42" s="25"/>
      <c r="E42" s="64">
        <f t="shared" si="10"/>
        <v>0</v>
      </c>
      <c r="AO42" s="65"/>
    </row>
    <row r="43" spans="1:41" x14ac:dyDescent="0.3">
      <c r="A43" s="24"/>
      <c r="B43" s="76"/>
      <c r="C43" s="65"/>
      <c r="D43" s="25"/>
      <c r="E43" s="64">
        <f t="shared" si="10"/>
        <v>0</v>
      </c>
      <c r="AO43" s="65"/>
    </row>
    <row r="44" spans="1:41" x14ac:dyDescent="0.3">
      <c r="B44" s="76"/>
      <c r="C44" s="65"/>
      <c r="D44" s="25"/>
      <c r="E44" s="64">
        <f t="shared" si="10"/>
        <v>0</v>
      </c>
      <c r="AO44" s="6"/>
    </row>
    <row r="45" spans="1:41" x14ac:dyDescent="0.3">
      <c r="B45" s="76"/>
      <c r="C45" s="65"/>
      <c r="D45" s="25"/>
      <c r="E45" s="64">
        <f t="shared" si="10"/>
        <v>0</v>
      </c>
      <c r="AO45" s="65"/>
    </row>
    <row r="46" spans="1:41" x14ac:dyDescent="0.3">
      <c r="B46" s="12" t="s">
        <v>53</v>
      </c>
      <c r="C46" s="65"/>
      <c r="D46" s="25">
        <v>30</v>
      </c>
      <c r="E46" s="64">
        <f t="shared" si="10"/>
        <v>0</v>
      </c>
    </row>
    <row r="47" spans="1:41" x14ac:dyDescent="0.3">
      <c r="B47" s="13" t="s">
        <v>90</v>
      </c>
      <c r="C47" s="65"/>
      <c r="D47" s="67">
        <v>0.05</v>
      </c>
      <c r="E47" s="64">
        <f>SUM(E38:E46)*D47</f>
        <v>0</v>
      </c>
      <c r="AO47" s="65"/>
    </row>
    <row r="48" spans="1:41" x14ac:dyDescent="0.3">
      <c r="B48" s="13" t="s">
        <v>23</v>
      </c>
      <c r="D48" s="25">
        <v>0</v>
      </c>
      <c r="E48" s="64">
        <f>+D48*C48</f>
        <v>0</v>
      </c>
      <c r="AO48" s="66"/>
    </row>
    <row r="49" spans="1:41" x14ac:dyDescent="0.3">
      <c r="B49" s="304" t="s">
        <v>22</v>
      </c>
      <c r="C49" s="304"/>
      <c r="D49" s="304"/>
      <c r="E49" s="26">
        <f>SUM(E38:E48)</f>
        <v>0</v>
      </c>
      <c r="AO49" s="66"/>
    </row>
    <row r="50" spans="1:41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41" x14ac:dyDescent="0.3">
      <c r="B51" s="303" t="s">
        <v>12</v>
      </c>
      <c r="C51" s="303"/>
      <c r="D51" s="303"/>
      <c r="E51" s="303"/>
    </row>
    <row r="52" spans="1:41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41" x14ac:dyDescent="0.3">
      <c r="A53" s="24"/>
      <c r="B53" s="76"/>
      <c r="C53" s="65"/>
      <c r="D53" s="25"/>
      <c r="E53" s="64">
        <f t="shared" ref="E53:E63" si="11">+D53*C53</f>
        <v>0</v>
      </c>
    </row>
    <row r="54" spans="1:41" x14ac:dyDescent="0.3">
      <c r="B54" s="76"/>
      <c r="C54" s="65"/>
      <c r="D54" s="25"/>
      <c r="E54" s="64">
        <f t="shared" si="11"/>
        <v>0</v>
      </c>
    </row>
    <row r="55" spans="1:41" x14ac:dyDescent="0.3">
      <c r="B55" s="76"/>
      <c r="C55" s="65"/>
      <c r="D55" s="25"/>
      <c r="E55" s="64">
        <f t="shared" si="11"/>
        <v>0</v>
      </c>
    </row>
    <row r="56" spans="1:41" x14ac:dyDescent="0.3">
      <c r="B56" s="76"/>
      <c r="C56" s="65"/>
      <c r="D56" s="25"/>
      <c r="E56" s="64">
        <f t="shared" si="11"/>
        <v>0</v>
      </c>
    </row>
    <row r="57" spans="1:41" x14ac:dyDescent="0.3">
      <c r="B57" s="76"/>
      <c r="C57" s="65"/>
      <c r="D57" s="25"/>
      <c r="E57" s="64">
        <f t="shared" si="11"/>
        <v>0</v>
      </c>
    </row>
    <row r="58" spans="1:41" x14ac:dyDescent="0.3">
      <c r="B58" s="76"/>
      <c r="C58" s="65"/>
      <c r="D58" s="25"/>
      <c r="E58" s="64">
        <f t="shared" si="11"/>
        <v>0</v>
      </c>
    </row>
    <row r="59" spans="1:41" x14ac:dyDescent="0.3">
      <c r="B59" s="76"/>
      <c r="C59" s="65"/>
      <c r="D59" s="25"/>
      <c r="E59" s="64">
        <f t="shared" si="11"/>
        <v>0</v>
      </c>
    </row>
    <row r="60" spans="1:41" x14ac:dyDescent="0.3">
      <c r="B60" s="12" t="s">
        <v>96</v>
      </c>
      <c r="C60" s="65"/>
      <c r="D60" s="25">
        <v>100</v>
      </c>
      <c r="E60" s="64">
        <f t="shared" si="11"/>
        <v>0</v>
      </c>
    </row>
    <row r="61" spans="1:41" x14ac:dyDescent="0.3">
      <c r="B61" s="76" t="s">
        <v>95</v>
      </c>
      <c r="D61" s="25">
        <v>200</v>
      </c>
      <c r="E61" s="64">
        <f t="shared" si="11"/>
        <v>0</v>
      </c>
    </row>
    <row r="62" spans="1:41" x14ac:dyDescent="0.3">
      <c r="B62" s="12" t="s">
        <v>84</v>
      </c>
      <c r="C62" s="65"/>
      <c r="D62" s="25"/>
      <c r="E62" s="64">
        <f t="shared" si="11"/>
        <v>0</v>
      </c>
    </row>
    <row r="63" spans="1:41" x14ac:dyDescent="0.3">
      <c r="B63" s="12" t="s">
        <v>53</v>
      </c>
      <c r="C63"/>
      <c r="D63" s="25">
        <v>30</v>
      </c>
      <c r="E63" s="64">
        <f t="shared" si="11"/>
        <v>0</v>
      </c>
    </row>
    <row r="64" spans="1:41" x14ac:dyDescent="0.3">
      <c r="B64" s="13" t="s">
        <v>90</v>
      </c>
      <c r="C64" s="65"/>
      <c r="D64" s="67">
        <v>0.05</v>
      </c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1"/>
  <sheetViews>
    <sheetView zoomScaleNormal="100" workbookViewId="0"/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customWidth="1"/>
    <col min="12" max="12" width="45.6640625" customWidth="1"/>
    <col min="13" max="15" width="12.6640625" customWidth="1"/>
    <col min="16" max="16" width="1.6640625" customWidth="1"/>
    <col min="17" max="17" width="45.6640625" customWidth="1"/>
    <col min="18" max="20" width="12.6640625" customWidth="1"/>
    <col min="21" max="21" width="1.6640625" customWidth="1"/>
    <col min="22" max="22" width="45.6640625" customWidth="1"/>
    <col min="23" max="25" width="12.6640625" customWidth="1"/>
    <col min="26" max="26" width="1.6640625" customWidth="1"/>
    <col min="27" max="27" width="45.6640625" customWidth="1"/>
    <col min="28" max="30" width="12.6640625" customWidth="1"/>
    <col min="31" max="31" width="1.6640625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>
        <f>Riassunto!D33</f>
        <v>0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+Riassunto!L33</f>
        <v>0</v>
      </c>
      <c r="D2" s="306"/>
      <c r="E2" s="306"/>
    </row>
    <row r="3" spans="1:36" x14ac:dyDescent="0.3">
      <c r="A3" s="5"/>
      <c r="B3" s="5" t="s">
        <v>17</v>
      </c>
      <c r="C3" s="307">
        <f>Riassunto!I33</f>
        <v>0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 t="e">
        <f>+(C3-C4)*1000/C2</f>
        <v>#DIV/0!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 t="e">
        <f>+C5*(1-C14)</f>
        <v>#DIV/0!</v>
      </c>
      <c r="D17" s="70"/>
      <c r="E17" t="s">
        <v>20</v>
      </c>
    </row>
    <row r="18" spans="1:36" x14ac:dyDescent="0.3">
      <c r="A18" s="5"/>
      <c r="B18" s="5" t="s">
        <v>92</v>
      </c>
      <c r="C18" s="71" t="e">
        <f>+(C17*$C$2/1000)+$C$4</f>
        <v>#DIV/0!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/>
      <c r="C22" s="65"/>
      <c r="D22" s="25"/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50"/>
      <c r="C23" s="128"/>
      <c r="D23" s="130"/>
      <c r="E23" s="131">
        <f t="shared" ref="E23:E32" si="3">+D23*C23</f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12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2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2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9" x14ac:dyDescent="0.3">
      <c r="B33" s="12" t="s">
        <v>53</v>
      </c>
      <c r="C33" s="65"/>
      <c r="D33" s="25">
        <v>30</v>
      </c>
      <c r="E33" s="64">
        <f>+D33*C33</f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9" x14ac:dyDescent="0.3">
      <c r="B34" s="13" t="s">
        <v>90</v>
      </c>
      <c r="C34" s="66">
        <v>1</v>
      </c>
      <c r="D34" s="67">
        <v>0.08</v>
      </c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39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9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9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9" x14ac:dyDescent="0.3">
      <c r="B38" s="311" t="s">
        <v>33</v>
      </c>
      <c r="C38" s="311"/>
      <c r="D38" s="311"/>
      <c r="E38" s="311"/>
    </row>
    <row r="39" spans="1:39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9" x14ac:dyDescent="0.3">
      <c r="B40" s="76"/>
      <c r="C40" s="65"/>
      <c r="D40" s="25">
        <v>35</v>
      </c>
      <c r="E40" s="64">
        <f t="shared" ref="E40:E46" si="10">+D40*C40</f>
        <v>0</v>
      </c>
    </row>
    <row r="41" spans="1:39" x14ac:dyDescent="0.3">
      <c r="A41" s="24"/>
      <c r="B41" s="76"/>
      <c r="C41" s="65"/>
      <c r="D41" s="25">
        <v>500</v>
      </c>
      <c r="E41" s="64">
        <f t="shared" si="10"/>
        <v>0</v>
      </c>
      <c r="AM41" s="65"/>
    </row>
    <row r="42" spans="1:39" x14ac:dyDescent="0.3">
      <c r="A42" s="24"/>
      <c r="B42" s="76"/>
      <c r="C42" s="65"/>
      <c r="D42" s="25"/>
      <c r="E42" s="64">
        <f t="shared" si="10"/>
        <v>0</v>
      </c>
      <c r="AM42" s="65"/>
    </row>
    <row r="43" spans="1:39" x14ac:dyDescent="0.3">
      <c r="A43" s="24"/>
      <c r="B43" s="76"/>
      <c r="C43" s="65"/>
      <c r="D43" s="25"/>
      <c r="E43" s="64">
        <f t="shared" si="10"/>
        <v>0</v>
      </c>
      <c r="AM43" s="65"/>
    </row>
    <row r="44" spans="1:39" x14ac:dyDescent="0.3">
      <c r="B44" s="76"/>
      <c r="C44" s="65"/>
      <c r="D44" s="25"/>
      <c r="E44" s="64">
        <f t="shared" si="10"/>
        <v>0</v>
      </c>
      <c r="AM44" s="65"/>
    </row>
    <row r="45" spans="1:39" x14ac:dyDescent="0.3">
      <c r="B45" s="76"/>
      <c r="C45" s="65"/>
      <c r="D45" s="25"/>
      <c r="E45" s="64">
        <f t="shared" si="10"/>
        <v>0</v>
      </c>
      <c r="AM45" s="65"/>
    </row>
    <row r="46" spans="1:39" x14ac:dyDescent="0.3">
      <c r="B46" s="12" t="s">
        <v>53</v>
      </c>
      <c r="C46" s="65"/>
      <c r="D46" s="25">
        <v>30</v>
      </c>
      <c r="E46" s="64">
        <f t="shared" si="10"/>
        <v>0</v>
      </c>
      <c r="AM46" s="65"/>
    </row>
    <row r="47" spans="1:39" x14ac:dyDescent="0.3">
      <c r="B47" s="13" t="s">
        <v>90</v>
      </c>
      <c r="C47" s="65"/>
      <c r="D47" s="67">
        <v>0.05</v>
      </c>
      <c r="E47" s="64">
        <f>SUM(E38:E46)*D47</f>
        <v>0</v>
      </c>
      <c r="AM47" s="65"/>
    </row>
    <row r="48" spans="1:39" x14ac:dyDescent="0.3">
      <c r="B48" s="13" t="s">
        <v>23</v>
      </c>
      <c r="D48" s="25">
        <v>0</v>
      </c>
      <c r="E48" s="64">
        <f>+D48*C48</f>
        <v>0</v>
      </c>
      <c r="AM48" s="65"/>
    </row>
    <row r="49" spans="1:39" x14ac:dyDescent="0.3">
      <c r="B49" s="304" t="s">
        <v>22</v>
      </c>
      <c r="C49" s="304"/>
      <c r="D49" s="304"/>
      <c r="E49" s="26">
        <f>SUM(E38:E48)</f>
        <v>0</v>
      </c>
      <c r="AM49" s="6"/>
    </row>
    <row r="50" spans="1:39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  <c r="AM50" s="65"/>
    </row>
    <row r="51" spans="1:39" x14ac:dyDescent="0.3">
      <c r="B51" s="303" t="s">
        <v>12</v>
      </c>
      <c r="C51" s="303"/>
      <c r="D51" s="303"/>
      <c r="E51" s="303"/>
    </row>
    <row r="52" spans="1:39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M52" s="65"/>
    </row>
    <row r="53" spans="1:39" x14ac:dyDescent="0.3">
      <c r="A53" s="24"/>
      <c r="B53" s="12"/>
      <c r="C53" s="65"/>
      <c r="D53" s="25"/>
      <c r="E53" s="64">
        <f t="shared" ref="E53:E63" si="11">+D53*C53</f>
        <v>0</v>
      </c>
      <c r="AM53" s="66"/>
    </row>
    <row r="54" spans="1:39" x14ac:dyDescent="0.3">
      <c r="B54" s="12"/>
      <c r="C54" s="65"/>
      <c r="D54" s="25"/>
      <c r="E54" s="64">
        <f t="shared" si="11"/>
        <v>0</v>
      </c>
      <c r="AM54" s="66"/>
    </row>
    <row r="55" spans="1:39" x14ac:dyDescent="0.3">
      <c r="B55" s="76"/>
      <c r="C55" s="65"/>
      <c r="D55" s="25"/>
      <c r="E55" s="64">
        <f t="shared" si="11"/>
        <v>0</v>
      </c>
    </row>
    <row r="56" spans="1:39" x14ac:dyDescent="0.3">
      <c r="B56" s="12"/>
      <c r="C56" s="65"/>
      <c r="D56" s="25"/>
      <c r="E56" s="64">
        <f t="shared" si="11"/>
        <v>0</v>
      </c>
    </row>
    <row r="57" spans="1:39" x14ac:dyDescent="0.3">
      <c r="B57" s="12"/>
      <c r="C57" s="65"/>
      <c r="D57" s="25"/>
      <c r="E57" s="64">
        <f t="shared" si="11"/>
        <v>0</v>
      </c>
    </row>
    <row r="58" spans="1:39" x14ac:dyDescent="0.3">
      <c r="B58" s="13"/>
      <c r="C58" s="65"/>
      <c r="D58" s="25"/>
      <c r="E58" s="64">
        <f t="shared" si="11"/>
        <v>0</v>
      </c>
    </row>
    <row r="59" spans="1:39" x14ac:dyDescent="0.3">
      <c r="B59" s="12"/>
      <c r="C59" s="65"/>
      <c r="D59" s="25"/>
      <c r="E59" s="64">
        <f t="shared" si="11"/>
        <v>0</v>
      </c>
    </row>
    <row r="60" spans="1:39" x14ac:dyDescent="0.3">
      <c r="B60" s="12"/>
      <c r="C60" s="65"/>
      <c r="D60" s="25"/>
      <c r="E60" s="64">
        <f t="shared" si="11"/>
        <v>0</v>
      </c>
    </row>
    <row r="61" spans="1:39" x14ac:dyDescent="0.3">
      <c r="B61" s="12"/>
      <c r="C61" s="65"/>
      <c r="D61" s="25"/>
      <c r="E61" s="64">
        <f t="shared" si="11"/>
        <v>0</v>
      </c>
    </row>
    <row r="62" spans="1:39" x14ac:dyDescent="0.3">
      <c r="B62" s="12"/>
      <c r="C62" s="65"/>
      <c r="D62" s="25"/>
      <c r="E62" s="64">
        <f t="shared" si="11"/>
        <v>0</v>
      </c>
    </row>
    <row r="63" spans="1:39" x14ac:dyDescent="0.3">
      <c r="B63" s="12" t="s">
        <v>53</v>
      </c>
      <c r="C63" s="65"/>
      <c r="D63" s="25">
        <v>30</v>
      </c>
      <c r="E63" s="64">
        <f t="shared" si="11"/>
        <v>0</v>
      </c>
    </row>
    <row r="64" spans="1:39" x14ac:dyDescent="0.3">
      <c r="B64" s="13" t="s">
        <v>90</v>
      </c>
      <c r="C64" s="65"/>
      <c r="D64" s="67">
        <v>0.05</v>
      </c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44"/>
  <sheetViews>
    <sheetView topLeftCell="A7" workbookViewId="0">
      <selection activeCell="K32" sqref="K32"/>
    </sheetView>
  </sheetViews>
  <sheetFormatPr defaultRowHeight="14.4" x14ac:dyDescent="0.3"/>
  <cols>
    <col min="2" max="2" width="29.44140625" bestFit="1" customWidth="1"/>
    <col min="3" max="3" width="12" style="25" bestFit="1" customWidth="1"/>
    <col min="4" max="4" width="12" bestFit="1" customWidth="1"/>
    <col min="6" max="6" width="27.109375" bestFit="1" customWidth="1"/>
    <col min="7" max="7" width="12" style="25" bestFit="1" customWidth="1"/>
    <col min="8" max="8" width="12" bestFit="1" customWidth="1"/>
    <col min="10" max="10" width="27.109375" bestFit="1" customWidth="1"/>
    <col min="11" max="12" width="12" bestFit="1" customWidth="1"/>
    <col min="14" max="14" width="27.109375" bestFit="1" customWidth="1"/>
    <col min="15" max="16" width="12" bestFit="1" customWidth="1"/>
    <col min="18" max="18" width="27.109375" style="153" bestFit="1" customWidth="1"/>
    <col min="19" max="20" width="11.88671875" style="153" bestFit="1" customWidth="1"/>
    <col min="22" max="22" width="27.109375" bestFit="1" customWidth="1"/>
    <col min="23" max="24" width="12" bestFit="1" customWidth="1"/>
    <col min="26" max="26" width="27.109375" bestFit="1" customWidth="1"/>
    <col min="27" max="28" width="12" bestFit="1" customWidth="1"/>
    <col min="30" max="30" width="27.109375" bestFit="1" customWidth="1"/>
    <col min="31" max="32" width="12" bestFit="1" customWidth="1"/>
    <col min="34" max="34" width="27.109375" bestFit="1" customWidth="1"/>
    <col min="35" max="36" width="11.88671875" bestFit="1" customWidth="1"/>
    <col min="38" max="38" width="27.109375" bestFit="1" customWidth="1"/>
    <col min="39" max="40" width="10.44140625" bestFit="1" customWidth="1"/>
  </cols>
  <sheetData>
    <row r="2" spans="2:40" x14ac:dyDescent="0.3">
      <c r="B2" t="s">
        <v>183</v>
      </c>
      <c r="C2" s="11">
        <v>0.35</v>
      </c>
      <c r="D2" s="11">
        <v>0.15</v>
      </c>
    </row>
    <row r="3" spans="2:40" x14ac:dyDescent="0.3">
      <c r="B3" t="s">
        <v>184</v>
      </c>
      <c r="C3" s="11">
        <v>0.03</v>
      </c>
    </row>
    <row r="4" spans="2:40" x14ac:dyDescent="0.3">
      <c r="C4" s="25" t="s">
        <v>181</v>
      </c>
      <c r="D4" t="s">
        <v>182</v>
      </c>
    </row>
    <row r="5" spans="2:40" x14ac:dyDescent="0.3">
      <c r="B5" s="9" t="s">
        <v>180</v>
      </c>
      <c r="C5" s="135">
        <f>SUM(C6:C13)</f>
        <v>9455</v>
      </c>
      <c r="D5" s="134">
        <f>+CEILING(C5*(1-$C$2)*(1-$D$2)*(1+$C$3),100)</f>
        <v>5400</v>
      </c>
      <c r="F5" s="9" t="s">
        <v>257</v>
      </c>
      <c r="G5" s="135">
        <f>SUM(G6:G19)</f>
        <v>20848</v>
      </c>
      <c r="H5" s="134">
        <f>+CEILING(G5*(1-$C$2)*(1-$D$2)*(1+$C$3),100)</f>
        <v>11900</v>
      </c>
      <c r="J5" s="9" t="s">
        <v>307</v>
      </c>
      <c r="K5" s="135">
        <f>SUM(K6:K19)</f>
        <v>24235</v>
      </c>
      <c r="L5" s="134">
        <f>+CEILING(K5*(1-$C$2)*(1-$D$2)*(1+$C$3),100)</f>
        <v>13800</v>
      </c>
      <c r="N5" s="154" t="s">
        <v>333</v>
      </c>
      <c r="O5" s="135">
        <f>SUM(O6:O13)</f>
        <v>9627</v>
      </c>
      <c r="P5" s="134">
        <f>+CEILING(O5*(1-$C$2)*(1-$D$2)*(1+$C$3),100)</f>
        <v>5500</v>
      </c>
      <c r="R5" s="154" t="s">
        <v>364</v>
      </c>
      <c r="S5" s="135">
        <f>SUM(S6:S13)</f>
        <v>9891</v>
      </c>
      <c r="T5" s="134">
        <f>+CEILING(S5*(1-$C$2)*(1-$D$2)*(1+$C$3),100)</f>
        <v>5700</v>
      </c>
      <c r="V5" s="154" t="s">
        <v>398</v>
      </c>
      <c r="W5" s="135">
        <f>SUM(W6:W19)</f>
        <v>38798</v>
      </c>
      <c r="X5" s="134">
        <f>+CEILING(W5*(1-$C$2)*(1-$D$2)*(1+$C$3),100)</f>
        <v>22100</v>
      </c>
      <c r="Z5" s="154" t="s">
        <v>406</v>
      </c>
      <c r="AA5" s="135">
        <f>SUM(AA6:AA19)</f>
        <v>28818</v>
      </c>
      <c r="AB5" s="134">
        <f>+CEILING(AA5*(1-$C$2)*(1-$D$2)*(1+$C$3),100)</f>
        <v>16400</v>
      </c>
      <c r="AD5" s="154" t="s">
        <v>412</v>
      </c>
      <c r="AE5" s="135">
        <f>SUM(AE6:AE18)</f>
        <v>19014</v>
      </c>
      <c r="AF5" s="134">
        <f>+CEILING(AE5*(1-$C$2)*(1-$D$2)*(1+$C$3),100)</f>
        <v>10900</v>
      </c>
      <c r="AH5" s="154" t="s">
        <v>476</v>
      </c>
      <c r="AI5" s="135">
        <f>SUM(AI6:AI19)</f>
        <v>22274</v>
      </c>
      <c r="AJ5" s="134">
        <f>+CEILING(AI5*(1-$C$2)*(1-$D$2)*(1+$C$3),100)</f>
        <v>12700</v>
      </c>
      <c r="AL5" s="154" t="s">
        <v>486</v>
      </c>
      <c r="AM5" s="244">
        <v>34097</v>
      </c>
      <c r="AN5" s="245">
        <v>19500</v>
      </c>
    </row>
    <row r="6" spans="2:40" x14ac:dyDescent="0.3">
      <c r="B6" t="s">
        <v>172</v>
      </c>
      <c r="C6" s="25">
        <v>5596</v>
      </c>
      <c r="F6" t="s">
        <v>172</v>
      </c>
      <c r="G6" s="25">
        <f>5596*2</f>
        <v>11192</v>
      </c>
      <c r="J6" t="s">
        <v>172</v>
      </c>
      <c r="K6" s="25">
        <f>6726*2</f>
        <v>13452</v>
      </c>
      <c r="N6" s="153" t="s">
        <v>172</v>
      </c>
      <c r="O6" s="25">
        <v>5768</v>
      </c>
      <c r="P6" s="153"/>
      <c r="R6" s="153" t="s">
        <v>172</v>
      </c>
      <c r="S6" s="25">
        <v>5945</v>
      </c>
      <c r="V6" s="153" t="s">
        <v>172</v>
      </c>
      <c r="W6" s="25">
        <f>5765*4</f>
        <v>23060</v>
      </c>
      <c r="X6" s="153"/>
      <c r="Z6" s="153" t="s">
        <v>172</v>
      </c>
      <c r="AA6" s="25">
        <f>5596*3</f>
        <v>16788</v>
      </c>
      <c r="AB6" s="153"/>
      <c r="AD6" s="153" t="s">
        <v>172</v>
      </c>
      <c r="AE6" s="25">
        <f>5628*2</f>
        <v>11256</v>
      </c>
      <c r="AF6" s="153"/>
      <c r="AH6" s="153" t="s">
        <v>172</v>
      </c>
      <c r="AI6" s="25">
        <f>5945*2</f>
        <v>11890</v>
      </c>
      <c r="AJ6" s="153"/>
      <c r="AL6" t="s">
        <v>172</v>
      </c>
      <c r="AM6" s="244">
        <v>20178</v>
      </c>
    </row>
    <row r="7" spans="2:40" x14ac:dyDescent="0.3">
      <c r="B7" t="s">
        <v>173</v>
      </c>
      <c r="C7" s="25">
        <v>77</v>
      </c>
      <c r="F7" t="s">
        <v>173</v>
      </c>
      <c r="G7" s="25">
        <f>30*2</f>
        <v>60</v>
      </c>
      <c r="J7" t="s">
        <v>173</v>
      </c>
      <c r="K7" s="25">
        <f>30*2</f>
        <v>60</v>
      </c>
      <c r="N7" s="153" t="s">
        <v>173</v>
      </c>
      <c r="O7" s="25">
        <v>77</v>
      </c>
      <c r="P7" s="153"/>
      <c r="R7" s="153" t="s">
        <v>173</v>
      </c>
      <c r="S7" s="25">
        <v>77</v>
      </c>
      <c r="V7" s="153" t="s">
        <v>173</v>
      </c>
      <c r="W7" s="25">
        <f>30*4</f>
        <v>120</v>
      </c>
      <c r="X7" s="153"/>
      <c r="Z7" s="153" t="s">
        <v>173</v>
      </c>
      <c r="AA7" s="25">
        <f>30*3</f>
        <v>90</v>
      </c>
      <c r="AB7" s="153"/>
      <c r="AD7" s="153" t="s">
        <v>173</v>
      </c>
      <c r="AE7" s="25">
        <f>30*2</f>
        <v>60</v>
      </c>
      <c r="AF7" s="153"/>
      <c r="AH7" s="153" t="s">
        <v>173</v>
      </c>
      <c r="AI7" s="25">
        <f>30*2</f>
        <v>60</v>
      </c>
      <c r="AJ7" s="153"/>
      <c r="AL7" t="s">
        <v>173</v>
      </c>
      <c r="AM7" s="244">
        <v>90</v>
      </c>
    </row>
    <row r="8" spans="2:40" x14ac:dyDescent="0.3">
      <c r="B8" t="s">
        <v>174</v>
      </c>
      <c r="C8" s="25">
        <v>478</v>
      </c>
      <c r="F8" t="s">
        <v>174</v>
      </c>
      <c r="G8" s="25">
        <f>478*2</f>
        <v>956</v>
      </c>
      <c r="J8" t="s">
        <v>174</v>
      </c>
      <c r="K8" s="25">
        <f>565*2</f>
        <v>1130</v>
      </c>
      <c r="N8" s="153" t="s">
        <v>174</v>
      </c>
      <c r="O8" s="25">
        <v>478</v>
      </c>
      <c r="P8" s="153"/>
      <c r="R8" s="153" t="s">
        <v>174</v>
      </c>
      <c r="S8" s="25">
        <v>565</v>
      </c>
      <c r="V8" s="153" t="s">
        <v>174</v>
      </c>
      <c r="W8" s="25">
        <f>565*4</f>
        <v>2260</v>
      </c>
      <c r="X8" s="153"/>
      <c r="Z8" s="153" t="s">
        <v>174</v>
      </c>
      <c r="AA8" s="25">
        <f>478*3</f>
        <v>1434</v>
      </c>
      <c r="AB8" s="153"/>
      <c r="AD8" s="153" t="s">
        <v>258</v>
      </c>
      <c r="AE8" s="25">
        <f>2*171</f>
        <v>342</v>
      </c>
      <c r="AF8" s="153"/>
      <c r="AH8" s="153" t="s">
        <v>174</v>
      </c>
      <c r="AI8" s="25">
        <f>478*2</f>
        <v>956</v>
      </c>
      <c r="AJ8" s="153"/>
      <c r="AL8" t="s">
        <v>174</v>
      </c>
      <c r="AM8" s="244">
        <v>1695</v>
      </c>
    </row>
    <row r="9" spans="2:40" x14ac:dyDescent="0.3">
      <c r="B9" t="s">
        <v>175</v>
      </c>
      <c r="C9" s="25">
        <v>1034</v>
      </c>
      <c r="F9" t="s">
        <v>258</v>
      </c>
      <c r="G9" s="25">
        <f>2*171</f>
        <v>342</v>
      </c>
      <c r="J9" t="s">
        <v>258</v>
      </c>
      <c r="K9" s="25">
        <f>2*171</f>
        <v>342</v>
      </c>
      <c r="N9" s="153" t="s">
        <v>175</v>
      </c>
      <c r="O9" s="25">
        <v>1034</v>
      </c>
      <c r="P9" s="153"/>
      <c r="R9" s="153" t="s">
        <v>175</v>
      </c>
      <c r="S9" s="25">
        <v>1034</v>
      </c>
      <c r="V9" s="153" t="s">
        <v>258</v>
      </c>
      <c r="W9" s="25">
        <f>2*171+2*221</f>
        <v>784</v>
      </c>
      <c r="X9" s="153"/>
      <c r="Z9" s="153" t="s">
        <v>258</v>
      </c>
      <c r="AA9" s="25">
        <f>3*171</f>
        <v>513</v>
      </c>
      <c r="AB9" s="153"/>
      <c r="AD9" s="153" t="s">
        <v>259</v>
      </c>
      <c r="AE9" s="25">
        <f>1115+91</f>
        <v>1206</v>
      </c>
      <c r="AF9" s="153"/>
      <c r="AH9" s="153" t="s">
        <v>258</v>
      </c>
      <c r="AI9" s="25">
        <f>2*171</f>
        <v>342</v>
      </c>
      <c r="AJ9" s="153"/>
      <c r="AL9" t="s">
        <v>258</v>
      </c>
      <c r="AM9" s="244">
        <v>513</v>
      </c>
    </row>
    <row r="10" spans="2:40" x14ac:dyDescent="0.3">
      <c r="B10" t="s">
        <v>176</v>
      </c>
      <c r="C10" s="25">
        <v>258</v>
      </c>
      <c r="F10" t="s">
        <v>259</v>
      </c>
      <c r="G10" s="25">
        <f>1115+91</f>
        <v>1206</v>
      </c>
      <c r="J10" t="s">
        <v>259</v>
      </c>
      <c r="K10" s="25">
        <f>1115+91</f>
        <v>1206</v>
      </c>
      <c r="N10" s="153" t="s">
        <v>176</v>
      </c>
      <c r="O10" s="25">
        <v>258</v>
      </c>
      <c r="P10" s="153"/>
      <c r="R10" s="153" t="s">
        <v>176</v>
      </c>
      <c r="S10" s="25">
        <v>258</v>
      </c>
      <c r="V10" s="153" t="s">
        <v>259</v>
      </c>
      <c r="W10" s="25">
        <f>2*1115+91</f>
        <v>2321</v>
      </c>
      <c r="X10" s="153"/>
      <c r="Z10" s="153" t="s">
        <v>259</v>
      </c>
      <c r="AA10" s="25">
        <f>1433+91</f>
        <v>1524</v>
      </c>
      <c r="AB10" s="153"/>
      <c r="AD10" s="153" t="s">
        <v>176</v>
      </c>
      <c r="AE10" s="25">
        <f>258*2</f>
        <v>516</v>
      </c>
      <c r="AF10" s="153"/>
      <c r="AH10" s="153" t="s">
        <v>259</v>
      </c>
      <c r="AI10" s="25">
        <f>1115+91</f>
        <v>1206</v>
      </c>
      <c r="AJ10" s="153"/>
      <c r="AL10" t="s">
        <v>259</v>
      </c>
      <c r="AM10" s="244">
        <v>1524</v>
      </c>
    </row>
    <row r="11" spans="2:40" x14ac:dyDescent="0.3">
      <c r="B11" t="s">
        <v>177</v>
      </c>
      <c r="C11" s="25">
        <v>1368</v>
      </c>
      <c r="F11" t="s">
        <v>176</v>
      </c>
      <c r="G11" s="25">
        <f>258*2</f>
        <v>516</v>
      </c>
      <c r="J11" t="s">
        <v>176</v>
      </c>
      <c r="K11" s="25">
        <f>258*2</f>
        <v>516</v>
      </c>
      <c r="N11" s="153" t="s">
        <v>177</v>
      </c>
      <c r="O11" s="25">
        <v>1368</v>
      </c>
      <c r="P11" s="153"/>
      <c r="R11" s="153" t="s">
        <v>177</v>
      </c>
      <c r="S11" s="25">
        <v>1368</v>
      </c>
      <c r="V11" s="153" t="s">
        <v>176</v>
      </c>
      <c r="W11" s="25">
        <f>258*2+2*95</f>
        <v>706</v>
      </c>
      <c r="X11" s="153"/>
      <c r="Z11" s="153" t="s">
        <v>176</v>
      </c>
      <c r="AA11" s="25">
        <f>258*3</f>
        <v>774</v>
      </c>
      <c r="AB11" s="153"/>
      <c r="AD11" s="153" t="s">
        <v>260</v>
      </c>
      <c r="AE11" s="25">
        <f>2*223</f>
        <v>446</v>
      </c>
      <c r="AF11" s="153"/>
      <c r="AH11" s="153" t="s">
        <v>176</v>
      </c>
      <c r="AI11" s="25">
        <f>258*2</f>
        <v>516</v>
      </c>
      <c r="AJ11" s="153"/>
      <c r="AL11" t="s">
        <v>176</v>
      </c>
      <c r="AM11" s="244">
        <v>774</v>
      </c>
    </row>
    <row r="12" spans="2:40" x14ac:dyDescent="0.3">
      <c r="B12" t="s">
        <v>178</v>
      </c>
      <c r="C12" s="25">
        <v>233</v>
      </c>
      <c r="F12" t="s">
        <v>260</v>
      </c>
      <c r="G12" s="25">
        <f>2*223</f>
        <v>446</v>
      </c>
      <c r="J12" t="s">
        <v>260</v>
      </c>
      <c r="K12" s="25">
        <f>2*223</f>
        <v>446</v>
      </c>
      <c r="N12" s="153" t="s">
        <v>178</v>
      </c>
      <c r="O12" s="25">
        <v>233</v>
      </c>
      <c r="P12" s="153"/>
      <c r="R12" s="153" t="s">
        <v>178</v>
      </c>
      <c r="S12" s="25">
        <v>233</v>
      </c>
      <c r="V12" s="153" t="s">
        <v>260</v>
      </c>
      <c r="W12" s="25">
        <f>4*223</f>
        <v>892</v>
      </c>
      <c r="X12" s="153"/>
      <c r="Z12" s="153" t="s">
        <v>260</v>
      </c>
      <c r="AA12" s="25">
        <f>3*223</f>
        <v>669</v>
      </c>
      <c r="AB12" s="153"/>
      <c r="AD12" s="153" t="s">
        <v>175</v>
      </c>
      <c r="AE12" s="25">
        <v>464</v>
      </c>
      <c r="AF12" s="153"/>
      <c r="AH12" s="153" t="s">
        <v>260</v>
      </c>
      <c r="AI12" s="25">
        <f>2*223</f>
        <v>446</v>
      </c>
      <c r="AJ12" s="153"/>
      <c r="AL12" t="s">
        <v>260</v>
      </c>
      <c r="AM12" s="244">
        <v>669</v>
      </c>
    </row>
    <row r="13" spans="2:40" x14ac:dyDescent="0.3">
      <c r="B13" t="s">
        <v>179</v>
      </c>
      <c r="C13" s="25">
        <v>411</v>
      </c>
      <c r="F13" t="s">
        <v>175</v>
      </c>
      <c r="G13" s="25">
        <v>464</v>
      </c>
      <c r="J13" t="s">
        <v>175</v>
      </c>
      <c r="K13" s="25">
        <v>464</v>
      </c>
      <c r="N13" s="153" t="s">
        <v>179</v>
      </c>
      <c r="O13" s="25">
        <v>411</v>
      </c>
      <c r="P13" s="153"/>
      <c r="R13" s="153" t="s">
        <v>179</v>
      </c>
      <c r="S13" s="25">
        <v>411</v>
      </c>
      <c r="V13" s="153" t="s">
        <v>175</v>
      </c>
      <c r="W13" s="25">
        <v>464</v>
      </c>
      <c r="X13" s="153"/>
      <c r="Z13" s="153" t="s">
        <v>175</v>
      </c>
      <c r="AA13" s="25">
        <v>464</v>
      </c>
      <c r="AB13" s="153"/>
      <c r="AD13" s="153" t="s">
        <v>261</v>
      </c>
      <c r="AE13" s="25">
        <v>861</v>
      </c>
      <c r="AF13" s="153"/>
      <c r="AH13" s="153" t="s">
        <v>175</v>
      </c>
      <c r="AI13" s="25">
        <v>464</v>
      </c>
      <c r="AJ13" s="153"/>
      <c r="AL13" t="s">
        <v>175</v>
      </c>
      <c r="AM13" s="244">
        <v>464</v>
      </c>
    </row>
    <row r="14" spans="2:40" x14ac:dyDescent="0.3">
      <c r="F14" t="s">
        <v>261</v>
      </c>
      <c r="G14" s="25">
        <v>861</v>
      </c>
      <c r="J14" t="s">
        <v>261</v>
      </c>
      <c r="K14" s="25">
        <v>861</v>
      </c>
      <c r="V14" s="153" t="s">
        <v>261</v>
      </c>
      <c r="W14" s="25">
        <v>861</v>
      </c>
      <c r="X14" s="153"/>
      <c r="Z14" s="153" t="s">
        <v>261</v>
      </c>
      <c r="AA14" s="25">
        <v>861</v>
      </c>
      <c r="AB14" s="153"/>
      <c r="AD14" s="153" t="s">
        <v>262</v>
      </c>
      <c r="AE14" s="25">
        <f>181+2*168</f>
        <v>517</v>
      </c>
      <c r="AF14" s="153"/>
      <c r="AH14" s="153" t="s">
        <v>261</v>
      </c>
      <c r="AI14" s="25">
        <v>861</v>
      </c>
      <c r="AJ14" s="153"/>
      <c r="AL14" t="s">
        <v>487</v>
      </c>
      <c r="AM14" s="244">
        <v>964</v>
      </c>
    </row>
    <row r="15" spans="2:40" x14ac:dyDescent="0.3">
      <c r="F15" t="s">
        <v>262</v>
      </c>
      <c r="G15" s="25">
        <f>181+2*168</f>
        <v>517</v>
      </c>
      <c r="J15" t="s">
        <v>262</v>
      </c>
      <c r="K15" s="25">
        <f>181+2*168</f>
        <v>517</v>
      </c>
      <c r="V15" s="153" t="s">
        <v>262</v>
      </c>
      <c r="W15" s="25">
        <f>181+4*168</f>
        <v>853</v>
      </c>
      <c r="X15" s="153"/>
      <c r="Z15" s="153" t="s">
        <v>262</v>
      </c>
      <c r="AA15" s="25">
        <f>181+3*168</f>
        <v>685</v>
      </c>
      <c r="AB15" s="153"/>
      <c r="AD15" s="153" t="s">
        <v>179</v>
      </c>
      <c r="AE15" s="25">
        <v>411</v>
      </c>
      <c r="AF15" s="153"/>
      <c r="AH15" s="153" t="s">
        <v>262</v>
      </c>
      <c r="AI15" s="25">
        <f>181+2*168</f>
        <v>517</v>
      </c>
      <c r="AJ15" s="153"/>
      <c r="AL15" t="s">
        <v>262</v>
      </c>
      <c r="AM15" s="244">
        <v>685</v>
      </c>
    </row>
    <row r="16" spans="2:40" x14ac:dyDescent="0.3">
      <c r="F16" t="s">
        <v>179</v>
      </c>
      <c r="G16" s="25">
        <v>411</v>
      </c>
      <c r="J16" t="s">
        <v>179</v>
      </c>
      <c r="K16" s="25">
        <v>411</v>
      </c>
      <c r="V16" s="153" t="s">
        <v>179</v>
      </c>
      <c r="W16" s="25">
        <v>411</v>
      </c>
      <c r="X16" s="153"/>
      <c r="Z16" s="153" t="s">
        <v>179</v>
      </c>
      <c r="AA16" s="25">
        <v>411</v>
      </c>
      <c r="AB16" s="153"/>
      <c r="AD16" s="153" t="s">
        <v>413</v>
      </c>
      <c r="AE16" s="25">
        <v>2471</v>
      </c>
      <c r="AF16" s="153"/>
      <c r="AH16" s="153" t="s">
        <v>179</v>
      </c>
      <c r="AI16" s="25">
        <v>411</v>
      </c>
      <c r="AJ16" s="153"/>
      <c r="AL16" t="s">
        <v>179</v>
      </c>
      <c r="AM16" s="244">
        <v>411</v>
      </c>
    </row>
    <row r="17" spans="2:39" x14ac:dyDescent="0.3">
      <c r="F17" t="s">
        <v>263</v>
      </c>
      <c r="G17" s="25">
        <v>3296</v>
      </c>
      <c r="J17" s="153" t="s">
        <v>308</v>
      </c>
      <c r="K17" s="25">
        <v>4178</v>
      </c>
      <c r="V17" s="153" t="s">
        <v>399</v>
      </c>
      <c r="W17" s="25">
        <v>5272</v>
      </c>
      <c r="X17" s="153"/>
      <c r="Z17" s="153" t="s">
        <v>407</v>
      </c>
      <c r="AA17" s="25">
        <v>3953</v>
      </c>
      <c r="AB17" s="153"/>
      <c r="AD17" s="153" t="s">
        <v>414</v>
      </c>
      <c r="AE17" s="25">
        <v>381</v>
      </c>
      <c r="AF17" s="153"/>
      <c r="AH17" s="153" t="s">
        <v>407</v>
      </c>
      <c r="AI17" s="25">
        <v>3953</v>
      </c>
      <c r="AJ17" s="153"/>
      <c r="AL17" t="s">
        <v>488</v>
      </c>
      <c r="AM17" s="244">
        <v>5416</v>
      </c>
    </row>
    <row r="18" spans="2:39" x14ac:dyDescent="0.3">
      <c r="F18" t="s">
        <v>264</v>
      </c>
      <c r="G18" s="25">
        <v>498</v>
      </c>
      <c r="J18" s="153" t="s">
        <v>390</v>
      </c>
      <c r="K18" s="25">
        <v>569</v>
      </c>
      <c r="V18" s="153" t="s">
        <v>400</v>
      </c>
      <c r="W18" s="25">
        <v>711</v>
      </c>
      <c r="X18" s="153"/>
      <c r="Z18" s="153" t="s">
        <v>390</v>
      </c>
      <c r="AA18" s="25">
        <v>569</v>
      </c>
      <c r="AB18" s="153"/>
      <c r="AD18" s="153" t="s">
        <v>265</v>
      </c>
      <c r="AE18" s="25">
        <v>83</v>
      </c>
      <c r="AF18" s="153"/>
      <c r="AH18" s="153" t="s">
        <v>390</v>
      </c>
      <c r="AI18" s="25">
        <v>569</v>
      </c>
      <c r="AJ18" s="153"/>
      <c r="AL18" t="s">
        <v>422</v>
      </c>
      <c r="AM18" s="244">
        <v>631</v>
      </c>
    </row>
    <row r="19" spans="2:39" x14ac:dyDescent="0.3">
      <c r="F19" t="s">
        <v>265</v>
      </c>
      <c r="G19" s="25">
        <v>83</v>
      </c>
      <c r="J19" t="s">
        <v>265</v>
      </c>
      <c r="K19" s="25">
        <v>83</v>
      </c>
      <c r="V19" s="153" t="s">
        <v>265</v>
      </c>
      <c r="W19" s="25">
        <v>83</v>
      </c>
      <c r="X19" s="153"/>
      <c r="Z19" s="153" t="s">
        <v>265</v>
      </c>
      <c r="AA19" s="25">
        <v>83</v>
      </c>
      <c r="AB19" s="153"/>
      <c r="AF19" s="153"/>
      <c r="AH19" s="153" t="s">
        <v>265</v>
      </c>
      <c r="AI19" s="25">
        <v>83</v>
      </c>
      <c r="AJ19" s="153"/>
      <c r="AL19" t="s">
        <v>265</v>
      </c>
      <c r="AM19" s="244">
        <v>83</v>
      </c>
    </row>
    <row r="21" spans="2:39" x14ac:dyDescent="0.3">
      <c r="B21" s="9" t="s">
        <v>187</v>
      </c>
      <c r="C21" s="135">
        <f>SUM(C22:C26)</f>
        <v>12781</v>
      </c>
      <c r="D21" s="134">
        <f>+CEILING(C21*(1-$C$2)*(1-$D$2)*(1+$C$3),100)</f>
        <v>7300</v>
      </c>
      <c r="F21" s="154" t="s">
        <v>372</v>
      </c>
      <c r="G21" s="135">
        <f>SUM(G22:G26)</f>
        <v>2596</v>
      </c>
      <c r="H21" s="134">
        <f>+CEILING(G21*(1-$C$2)*(1-$D$2)*(1+$C$3),100)</f>
        <v>1500</v>
      </c>
      <c r="J21" s="154" t="s">
        <v>386</v>
      </c>
      <c r="K21" s="135">
        <f>SUM(K22:K29)</f>
        <v>27319</v>
      </c>
      <c r="L21" s="134">
        <f>+CEILING(K21*(1-$C$2)*(1-$D$2)*(1+$C$3),100)</f>
        <v>15600</v>
      </c>
      <c r="N21" s="154" t="s">
        <v>420</v>
      </c>
      <c r="O21" s="135">
        <f>SUM(O22:O29)</f>
        <v>43845</v>
      </c>
      <c r="P21" s="134">
        <f>+CEILING(O21*(1-$C$2)*(1-$D$2)*(1+$C$3),100)</f>
        <v>25000</v>
      </c>
      <c r="R21" s="154" t="s">
        <v>479</v>
      </c>
      <c r="S21" s="135">
        <f>SUM(S22:S29)</f>
        <v>38722</v>
      </c>
      <c r="T21" s="134">
        <f>+CEILING(S21*(1-$C$2)*(1-$D$2)*(1+$C$3),100)</f>
        <v>22100</v>
      </c>
    </row>
    <row r="22" spans="2:39" x14ac:dyDescent="0.3">
      <c r="B22" t="s">
        <v>172</v>
      </c>
      <c r="C22" s="25">
        <v>9713</v>
      </c>
      <c r="F22" t="s">
        <v>373</v>
      </c>
      <c r="G22" s="25">
        <v>2377</v>
      </c>
      <c r="J22" s="153" t="s">
        <v>172</v>
      </c>
      <c r="K22" s="25">
        <v>19560</v>
      </c>
      <c r="L22" s="153"/>
      <c r="N22" s="153" t="s">
        <v>172</v>
      </c>
      <c r="O22" s="25">
        <v>32754</v>
      </c>
      <c r="P22" s="153"/>
      <c r="R22" s="153" t="s">
        <v>172</v>
      </c>
      <c r="S22" s="25">
        <v>29252</v>
      </c>
    </row>
    <row r="23" spans="2:39" x14ac:dyDescent="0.3">
      <c r="B23" t="s">
        <v>188</v>
      </c>
      <c r="C23" s="25">
        <v>2193</v>
      </c>
      <c r="F23" t="s">
        <v>374</v>
      </c>
      <c r="G23" s="25">
        <v>187</v>
      </c>
      <c r="J23" s="153" t="s">
        <v>387</v>
      </c>
      <c r="K23" s="25">
        <v>91</v>
      </c>
      <c r="L23" s="153"/>
      <c r="N23" s="153" t="s">
        <v>480</v>
      </c>
      <c r="O23" s="25">
        <v>176</v>
      </c>
      <c r="P23" s="153"/>
      <c r="R23" s="153" t="s">
        <v>387</v>
      </c>
      <c r="S23" s="25">
        <v>91</v>
      </c>
    </row>
    <row r="24" spans="2:39" x14ac:dyDescent="0.3">
      <c r="B24" t="s">
        <v>190</v>
      </c>
      <c r="C24" s="25">
        <v>381</v>
      </c>
      <c r="F24" t="s">
        <v>375</v>
      </c>
      <c r="G24" s="25">
        <v>32</v>
      </c>
      <c r="J24" s="153" t="s">
        <v>388</v>
      </c>
      <c r="K24" s="25">
        <f>510+299</f>
        <v>809</v>
      </c>
      <c r="L24" s="153"/>
      <c r="N24" s="153" t="s">
        <v>481</v>
      </c>
      <c r="O24" s="25">
        <f>660+361</f>
        <v>1021</v>
      </c>
      <c r="P24" s="153"/>
      <c r="R24" s="153" t="s">
        <v>388</v>
      </c>
      <c r="S24" s="25">
        <f>510+299</f>
        <v>809</v>
      </c>
    </row>
    <row r="25" spans="2:39" x14ac:dyDescent="0.3">
      <c r="B25" t="s">
        <v>189</v>
      </c>
      <c r="C25" s="25">
        <v>83</v>
      </c>
      <c r="J25" s="153" t="s">
        <v>389</v>
      </c>
      <c r="K25" s="25">
        <v>1618</v>
      </c>
      <c r="L25" s="153"/>
      <c r="N25" s="153" t="s">
        <v>389</v>
      </c>
      <c r="O25" s="25">
        <v>1618</v>
      </c>
      <c r="P25" s="153"/>
      <c r="R25" s="153" t="s">
        <v>389</v>
      </c>
      <c r="S25" s="25">
        <v>1618</v>
      </c>
    </row>
    <row r="26" spans="2:39" x14ac:dyDescent="0.3">
      <c r="B26" t="s">
        <v>179</v>
      </c>
      <c r="C26" s="25">
        <v>411</v>
      </c>
      <c r="J26" s="153" t="s">
        <v>308</v>
      </c>
      <c r="K26" s="25">
        <v>4178</v>
      </c>
      <c r="L26" s="153"/>
      <c r="N26" s="153" t="s">
        <v>482</v>
      </c>
      <c r="O26" s="25">
        <v>7015</v>
      </c>
      <c r="P26" s="153"/>
      <c r="R26" s="153" t="s">
        <v>421</v>
      </c>
      <c r="S26" s="25">
        <v>5827</v>
      </c>
    </row>
    <row r="27" spans="2:39" x14ac:dyDescent="0.3">
      <c r="J27" s="153" t="s">
        <v>390</v>
      </c>
      <c r="K27" s="25">
        <v>569</v>
      </c>
      <c r="N27" s="153" t="s">
        <v>483</v>
      </c>
      <c r="O27" s="25">
        <v>767</v>
      </c>
      <c r="P27" s="153"/>
      <c r="R27" s="153" t="s">
        <v>422</v>
      </c>
      <c r="S27" s="25">
        <v>631</v>
      </c>
    </row>
    <row r="28" spans="2:39" x14ac:dyDescent="0.3">
      <c r="J28" s="153" t="s">
        <v>265</v>
      </c>
      <c r="K28" s="25">
        <v>83</v>
      </c>
      <c r="N28" s="153" t="s">
        <v>265</v>
      </c>
      <c r="O28" s="25">
        <v>83</v>
      </c>
      <c r="P28" s="153"/>
      <c r="R28" s="153" t="s">
        <v>265</v>
      </c>
      <c r="S28" s="25">
        <v>83</v>
      </c>
    </row>
    <row r="29" spans="2:39" x14ac:dyDescent="0.3">
      <c r="J29" s="153" t="s">
        <v>179</v>
      </c>
      <c r="K29" s="25">
        <v>411</v>
      </c>
      <c r="N29" s="153" t="s">
        <v>179</v>
      </c>
      <c r="O29" s="25">
        <v>411</v>
      </c>
      <c r="P29" s="153"/>
      <c r="R29" s="153" t="s">
        <v>179</v>
      </c>
      <c r="S29" s="25">
        <v>411</v>
      </c>
    </row>
    <row r="31" spans="2:39" x14ac:dyDescent="0.3">
      <c r="B31" s="9" t="s">
        <v>230</v>
      </c>
      <c r="C31" s="135">
        <f>SUM(C32:C36)</f>
        <v>6368</v>
      </c>
      <c r="D31" s="134">
        <f>+CEILING(C31*(1-$C$2)*(1-$D$2)*(1+$C$3),100)</f>
        <v>3700</v>
      </c>
      <c r="F31" s="9" t="s">
        <v>274</v>
      </c>
      <c r="G31" s="135">
        <f>SUM(G32:G36)</f>
        <v>5944</v>
      </c>
      <c r="H31" s="134">
        <f>+CEILING(G31*(1-$C$2)*(1-$D$2)*(1+$C$3),100)</f>
        <v>3400</v>
      </c>
      <c r="J31" s="9" t="s">
        <v>286</v>
      </c>
      <c r="K31" s="135">
        <f>SUM(K32:K46)</f>
        <v>4828</v>
      </c>
      <c r="L31" s="134">
        <f>+CEILING(K31*(1-$C$2)*(1-$D$2)*(1+$C$3),100)</f>
        <v>2800</v>
      </c>
    </row>
    <row r="32" spans="2:39" x14ac:dyDescent="0.3">
      <c r="B32" t="s">
        <v>231</v>
      </c>
      <c r="C32" s="25">
        <f>2019*2</f>
        <v>4038</v>
      </c>
      <c r="F32" t="s">
        <v>275</v>
      </c>
      <c r="G32" s="25">
        <v>2926</v>
      </c>
      <c r="J32" t="s">
        <v>287</v>
      </c>
      <c r="K32" s="25">
        <v>2550</v>
      </c>
    </row>
    <row r="33" spans="2:11" x14ac:dyDescent="0.3">
      <c r="B33" t="s">
        <v>228</v>
      </c>
      <c r="C33" s="25">
        <v>51</v>
      </c>
      <c r="F33" t="s">
        <v>276</v>
      </c>
      <c r="G33" s="25">
        <f>2019</f>
        <v>2019</v>
      </c>
      <c r="J33" t="s">
        <v>288</v>
      </c>
      <c r="K33" s="25">
        <v>1509</v>
      </c>
    </row>
    <row r="34" spans="2:11" x14ac:dyDescent="0.3">
      <c r="B34" t="s">
        <v>229</v>
      </c>
      <c r="C34" s="25">
        <v>382</v>
      </c>
      <c r="F34" t="s">
        <v>277</v>
      </c>
      <c r="G34" s="25">
        <v>51</v>
      </c>
      <c r="J34" t="s">
        <v>277</v>
      </c>
      <c r="K34" s="25">
        <v>51</v>
      </c>
    </row>
    <row r="35" spans="2:11" x14ac:dyDescent="0.3">
      <c r="B35" t="s">
        <v>232</v>
      </c>
      <c r="C35" s="25">
        <f>583+583</f>
        <v>1166</v>
      </c>
      <c r="F35" t="s">
        <v>278</v>
      </c>
      <c r="G35" s="25">
        <v>583</v>
      </c>
      <c r="J35" t="s">
        <v>278</v>
      </c>
      <c r="K35" s="25">
        <v>583</v>
      </c>
    </row>
    <row r="36" spans="2:11" x14ac:dyDescent="0.3">
      <c r="B36" t="s">
        <v>233</v>
      </c>
      <c r="C36" s="25">
        <v>731</v>
      </c>
      <c r="F36" t="s">
        <v>279</v>
      </c>
      <c r="G36" s="25">
        <v>365</v>
      </c>
      <c r="J36" t="s">
        <v>289</v>
      </c>
      <c r="K36" s="25">
        <v>135</v>
      </c>
    </row>
    <row r="38" spans="2:11" x14ac:dyDescent="0.3">
      <c r="B38" s="154" t="s">
        <v>430</v>
      </c>
      <c r="C38" s="135">
        <v>3592</v>
      </c>
      <c r="D38" s="134">
        <f>+CEILING(C38*(1-$C$2)*(1-$D$2)*(1+$C$3),100)</f>
        <v>2100</v>
      </c>
      <c r="F38" s="154" t="s">
        <v>435</v>
      </c>
      <c r="G38" s="135">
        <f>SUM(G39:G53)</f>
        <v>15800</v>
      </c>
      <c r="H38" s="134">
        <f>+CEILING(G38*(1-$C$2)*(1-$D$2)*(1+$C$3),100)</f>
        <v>9000</v>
      </c>
    </row>
    <row r="39" spans="2:11" x14ac:dyDescent="0.3">
      <c r="B39" s="153"/>
      <c r="D39" s="153"/>
      <c r="F39" t="s">
        <v>436</v>
      </c>
      <c r="G39" s="25">
        <v>14600</v>
      </c>
    </row>
    <row r="40" spans="2:11" s="153" customFormat="1" x14ac:dyDescent="0.3">
      <c r="C40" s="25"/>
      <c r="F40" s="153" t="s">
        <v>460</v>
      </c>
      <c r="G40" s="25">
        <v>800</v>
      </c>
    </row>
    <row r="41" spans="2:11" x14ac:dyDescent="0.3">
      <c r="B41" s="153"/>
      <c r="D41" s="153"/>
      <c r="F41" t="s">
        <v>437</v>
      </c>
      <c r="G41" s="25">
        <v>400</v>
      </c>
    </row>
    <row r="42" spans="2:11" x14ac:dyDescent="0.3">
      <c r="B42" s="153"/>
      <c r="D42" s="153"/>
    </row>
    <row r="43" spans="2:11" x14ac:dyDescent="0.3">
      <c r="B43" s="153"/>
      <c r="D43" s="153"/>
    </row>
    <row r="44" spans="2:11" x14ac:dyDescent="0.3">
      <c r="B44" s="153"/>
      <c r="D44" s="153"/>
    </row>
  </sheetData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workbookViewId="0">
      <selection activeCell="B16" sqref="B16"/>
    </sheetView>
  </sheetViews>
  <sheetFormatPr defaultRowHeight="14.4" x14ac:dyDescent="0.3"/>
  <cols>
    <col min="2" max="2" width="9.109375" style="136"/>
    <col min="3" max="3" width="10.6640625" style="136" bestFit="1" customWidth="1"/>
    <col min="4" max="4" width="14.33203125" bestFit="1" customWidth="1"/>
    <col min="5" max="5" width="12" style="25" bestFit="1" customWidth="1"/>
    <col min="6" max="6" width="11" bestFit="1" customWidth="1"/>
  </cols>
  <sheetData>
    <row r="2" spans="2:6" x14ac:dyDescent="0.3">
      <c r="D2" t="s">
        <v>183</v>
      </c>
      <c r="E2" s="11">
        <v>0.5</v>
      </c>
      <c r="F2" s="11"/>
    </row>
    <row r="3" spans="2:6" x14ac:dyDescent="0.3">
      <c r="D3" t="s">
        <v>184</v>
      </c>
      <c r="E3" s="11">
        <v>0.03</v>
      </c>
    </row>
    <row r="4" spans="2:6" x14ac:dyDescent="0.3">
      <c r="B4" s="136" t="s">
        <v>193</v>
      </c>
      <c r="C4" s="136" t="s">
        <v>194</v>
      </c>
      <c r="E4" s="25" t="s">
        <v>181</v>
      </c>
      <c r="F4" t="s">
        <v>182</v>
      </c>
    </row>
    <row r="5" spans="2:6" s="153" customFormat="1" x14ac:dyDescent="0.3">
      <c r="B5" s="157">
        <v>1.3</v>
      </c>
      <c r="C5" s="157">
        <v>4</v>
      </c>
      <c r="D5" s="154" t="s">
        <v>378</v>
      </c>
      <c r="E5" s="25">
        <v>318</v>
      </c>
      <c r="F5" s="134">
        <f>+CEILING(E5*(1-$E$2)*(1-$F$2)*(1+$E$3),10)</f>
        <v>170</v>
      </c>
    </row>
    <row r="6" spans="2:6" s="153" customFormat="1" x14ac:dyDescent="0.3">
      <c r="B6" s="157"/>
      <c r="C6" s="157"/>
      <c r="E6" s="25"/>
    </row>
    <row r="7" spans="2:6" s="153" customFormat="1" x14ac:dyDescent="0.3">
      <c r="B7" s="157">
        <v>2.6</v>
      </c>
      <c r="C7" s="157">
        <v>4.5</v>
      </c>
      <c r="D7" s="154" t="s">
        <v>396</v>
      </c>
      <c r="E7" s="135">
        <v>588</v>
      </c>
      <c r="F7" s="134">
        <f>+CEILING(E7*(1-$E$2)*(1-$F$2)*(1+$E$3),10)</f>
        <v>310</v>
      </c>
    </row>
    <row r="8" spans="2:6" s="153" customFormat="1" x14ac:dyDescent="0.3">
      <c r="B8" s="157"/>
      <c r="C8" s="157"/>
      <c r="E8" s="25"/>
    </row>
    <row r="9" spans="2:6" s="153" customFormat="1" x14ac:dyDescent="0.3">
      <c r="B9" s="157">
        <v>6.5</v>
      </c>
      <c r="C9" s="157">
        <v>2.5</v>
      </c>
      <c r="D9" s="154" t="s">
        <v>353</v>
      </c>
      <c r="E9" s="135">
        <v>917</v>
      </c>
      <c r="F9" s="134">
        <f>+CEILING(E9*(1-$E$2)*(1-$F$2)*(1+$E$3),10)</f>
        <v>480</v>
      </c>
    </row>
    <row r="10" spans="2:6" s="153" customFormat="1" x14ac:dyDescent="0.3">
      <c r="B10" s="157">
        <v>3.8</v>
      </c>
      <c r="C10" s="157">
        <v>4.5</v>
      </c>
      <c r="E10" s="25"/>
    </row>
    <row r="11" spans="2:6" s="153" customFormat="1" x14ac:dyDescent="0.3">
      <c r="B11" s="157"/>
      <c r="C11" s="157"/>
      <c r="E11" s="25"/>
    </row>
    <row r="12" spans="2:6" x14ac:dyDescent="0.3">
      <c r="B12" s="136">
        <v>6</v>
      </c>
      <c r="C12" s="136">
        <v>4.5</v>
      </c>
      <c r="D12" s="9" t="s">
        <v>192</v>
      </c>
      <c r="E12" s="135">
        <v>1158</v>
      </c>
      <c r="F12" s="134">
        <f>+CEILING(E12*(1-$E$2)*(1-$F$2)*(1+$E$3),10)</f>
        <v>600</v>
      </c>
    </row>
    <row r="13" spans="2:6" x14ac:dyDescent="0.3">
      <c r="B13" s="136">
        <v>8</v>
      </c>
      <c r="C13" s="136">
        <v>2</v>
      </c>
    </row>
    <row r="14" spans="2:6" x14ac:dyDescent="0.3">
      <c r="B14" s="136">
        <v>5</v>
      </c>
      <c r="C14" s="136">
        <v>4.5</v>
      </c>
    </row>
    <row r="16" spans="2:6" s="153" customFormat="1" x14ac:dyDescent="0.3">
      <c r="B16" s="157">
        <v>8</v>
      </c>
      <c r="C16" s="157">
        <v>4.5</v>
      </c>
      <c r="D16" s="154" t="s">
        <v>332</v>
      </c>
      <c r="E16" s="135">
        <v>1273</v>
      </c>
      <c r="F16" s="134">
        <f>+CEILING(E16*(1-$E$2)*(1-$F$2)*(1+$E$3),10)</f>
        <v>660</v>
      </c>
    </row>
    <row r="17" spans="2:6" s="153" customFormat="1" x14ac:dyDescent="0.3">
      <c r="B17" s="157"/>
      <c r="C17" s="157"/>
      <c r="E17" s="25"/>
    </row>
    <row r="18" spans="2:6" x14ac:dyDescent="0.3">
      <c r="B18" s="136">
        <v>9.3000000000000007</v>
      </c>
      <c r="C18" s="136">
        <v>4.5</v>
      </c>
      <c r="D18" s="9" t="s">
        <v>269</v>
      </c>
      <c r="E18" s="135">
        <v>1723</v>
      </c>
      <c r="F18" s="134">
        <f>+CEILING(E18*(1-$E$2)*(1-$F$2)*(1+$E$3),10)</f>
        <v>890</v>
      </c>
    </row>
    <row r="20" spans="2:6" x14ac:dyDescent="0.3">
      <c r="B20" s="136">
        <v>15</v>
      </c>
      <c r="C20" s="136">
        <v>4.5</v>
      </c>
      <c r="D20" s="154" t="s">
        <v>395</v>
      </c>
      <c r="E20" s="135">
        <v>2464</v>
      </c>
      <c r="F20" s="134">
        <f>+CEILING(E20*(1-$E$2)*(1-$F$2)*(1+$E$3),10)</f>
        <v>1270</v>
      </c>
    </row>
    <row r="22" spans="2:6" x14ac:dyDescent="0.3">
      <c r="B22" s="136">
        <v>22</v>
      </c>
      <c r="C22" s="136">
        <v>4</v>
      </c>
      <c r="D22" s="9" t="s">
        <v>312</v>
      </c>
      <c r="E22" s="135">
        <v>2609</v>
      </c>
      <c r="F22" s="134">
        <f>+CEILING(E22*(1-$E$2)*(1-$F$2)*(1+$E$3),10)</f>
        <v>1350</v>
      </c>
    </row>
    <row r="24" spans="2:6" x14ac:dyDescent="0.3">
      <c r="B24" s="136">
        <v>25</v>
      </c>
      <c r="C24" s="136">
        <v>4.5</v>
      </c>
      <c r="D24" s="154" t="s">
        <v>402</v>
      </c>
      <c r="E24" s="25">
        <v>5324</v>
      </c>
      <c r="F24" s="134">
        <f>+CEILING(E24*(1-$E$2)*(1-$F$2)*(1+$E$3),10)</f>
        <v>2750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3"/>
  <sheetViews>
    <sheetView topLeftCell="A7" workbookViewId="0">
      <selection activeCell="C36" sqref="C36"/>
    </sheetView>
  </sheetViews>
  <sheetFormatPr defaultRowHeight="14.4" x14ac:dyDescent="0.3"/>
  <cols>
    <col min="2" max="2" width="15" bestFit="1" customWidth="1"/>
    <col min="3" max="3" width="12" style="25" bestFit="1" customWidth="1"/>
    <col min="4" max="4" width="11" bestFit="1" customWidth="1"/>
  </cols>
  <sheetData>
    <row r="2" spans="2:4" x14ac:dyDescent="0.3">
      <c r="B2" t="s">
        <v>183</v>
      </c>
      <c r="C2" s="11">
        <v>0.5</v>
      </c>
      <c r="D2" s="11"/>
    </row>
    <row r="3" spans="2:4" x14ac:dyDescent="0.3">
      <c r="B3" t="s">
        <v>184</v>
      </c>
      <c r="C3" s="11"/>
    </row>
    <row r="4" spans="2:4" x14ac:dyDescent="0.3">
      <c r="C4" s="25" t="s">
        <v>181</v>
      </c>
      <c r="D4" t="s">
        <v>182</v>
      </c>
    </row>
    <row r="5" spans="2:4" x14ac:dyDescent="0.3">
      <c r="B5" s="9" t="s">
        <v>200</v>
      </c>
      <c r="C5" s="135">
        <f>1025+235</f>
        <v>1260</v>
      </c>
      <c r="D5" s="134">
        <f>+CEILING(C5*(1-$C$2)*(1-$D$2)*(1+$C$3),10)</f>
        <v>630</v>
      </c>
    </row>
    <row r="6" spans="2:4" x14ac:dyDescent="0.3">
      <c r="B6" s="9" t="s">
        <v>201</v>
      </c>
      <c r="C6" s="25">
        <f>610+117</f>
        <v>727</v>
      </c>
      <c r="D6" s="134">
        <f t="shared" ref="D6:D43" si="0">+CEILING(C6*(1-$C$2)*(1-$D$2)*(1+$C$3),10)</f>
        <v>370</v>
      </c>
    </row>
    <row r="7" spans="2:4" x14ac:dyDescent="0.3">
      <c r="B7" s="9" t="s">
        <v>206</v>
      </c>
      <c r="C7" s="25">
        <f>645+117</f>
        <v>762</v>
      </c>
      <c r="D7" s="134">
        <f t="shared" si="0"/>
        <v>390</v>
      </c>
    </row>
    <row r="8" spans="2:4" x14ac:dyDescent="0.3">
      <c r="B8" s="9" t="s">
        <v>207</v>
      </c>
      <c r="C8" s="25">
        <f>980+117</f>
        <v>1097</v>
      </c>
      <c r="D8" s="134">
        <f t="shared" si="0"/>
        <v>550</v>
      </c>
    </row>
    <row r="9" spans="2:4" x14ac:dyDescent="0.3">
      <c r="B9" s="9" t="s">
        <v>208</v>
      </c>
      <c r="C9" s="25">
        <f>550+117</f>
        <v>667</v>
      </c>
      <c r="D9" s="134">
        <f t="shared" si="0"/>
        <v>340</v>
      </c>
    </row>
    <row r="10" spans="2:4" x14ac:dyDescent="0.3">
      <c r="B10" s="9" t="s">
        <v>221</v>
      </c>
      <c r="C10" s="25">
        <v>240</v>
      </c>
      <c r="D10" s="134">
        <f t="shared" si="0"/>
        <v>120</v>
      </c>
    </row>
    <row r="11" spans="2:4" x14ac:dyDescent="0.3">
      <c r="B11" s="9" t="s">
        <v>212</v>
      </c>
      <c r="C11" s="25">
        <f>855+235</f>
        <v>1090</v>
      </c>
      <c r="D11" s="134">
        <f t="shared" si="0"/>
        <v>550</v>
      </c>
    </row>
    <row r="12" spans="2:4" x14ac:dyDescent="0.3">
      <c r="B12" s="9" t="s">
        <v>213</v>
      </c>
      <c r="C12" s="25">
        <v>950</v>
      </c>
      <c r="D12" s="134">
        <f t="shared" si="0"/>
        <v>480</v>
      </c>
    </row>
    <row r="13" spans="2:4" x14ac:dyDescent="0.3">
      <c r="B13" s="9" t="s">
        <v>220</v>
      </c>
      <c r="C13" s="25">
        <f>490+117</f>
        <v>607</v>
      </c>
      <c r="D13" s="134">
        <f t="shared" si="0"/>
        <v>310</v>
      </c>
    </row>
    <row r="14" spans="2:4" x14ac:dyDescent="0.3">
      <c r="B14" s="9" t="s">
        <v>245</v>
      </c>
      <c r="C14" s="25">
        <f>470+1075</f>
        <v>1545</v>
      </c>
      <c r="D14" s="134">
        <f t="shared" si="0"/>
        <v>780</v>
      </c>
    </row>
    <row r="15" spans="2:4" x14ac:dyDescent="0.3">
      <c r="B15" s="9" t="s">
        <v>324</v>
      </c>
      <c r="C15" s="25">
        <f>730+117</f>
        <v>847</v>
      </c>
      <c r="D15" s="134">
        <f t="shared" si="0"/>
        <v>430</v>
      </c>
    </row>
    <row r="16" spans="2:4" x14ac:dyDescent="0.3">
      <c r="B16" s="9" t="s">
        <v>202</v>
      </c>
      <c r="C16" s="25">
        <v>50</v>
      </c>
      <c r="D16" s="134">
        <f t="shared" si="0"/>
        <v>30</v>
      </c>
    </row>
    <row r="17" spans="2:4" x14ac:dyDescent="0.3">
      <c r="B17" s="9" t="s">
        <v>203</v>
      </c>
      <c r="C17" s="25">
        <v>57</v>
      </c>
      <c r="D17" s="134">
        <f t="shared" si="0"/>
        <v>30</v>
      </c>
    </row>
    <row r="18" spans="2:4" x14ac:dyDescent="0.3">
      <c r="B18" s="9" t="s">
        <v>204</v>
      </c>
      <c r="C18" s="25">
        <v>80</v>
      </c>
      <c r="D18" s="134">
        <f t="shared" si="0"/>
        <v>40</v>
      </c>
    </row>
    <row r="19" spans="2:4" x14ac:dyDescent="0.3">
      <c r="B19" s="9" t="s">
        <v>205</v>
      </c>
      <c r="C19" s="25">
        <v>45</v>
      </c>
      <c r="D19" s="134">
        <f t="shared" si="0"/>
        <v>30</v>
      </c>
    </row>
    <row r="20" spans="2:4" x14ac:dyDescent="0.3">
      <c r="B20" s="9"/>
      <c r="D20" s="134">
        <f t="shared" si="0"/>
        <v>0</v>
      </c>
    </row>
    <row r="21" spans="2:4" x14ac:dyDescent="0.3">
      <c r="B21" s="9"/>
      <c r="D21" s="134">
        <f t="shared" si="0"/>
        <v>0</v>
      </c>
    </row>
    <row r="22" spans="2:4" x14ac:dyDescent="0.3">
      <c r="B22" s="9" t="s">
        <v>214</v>
      </c>
      <c r="C22" s="25">
        <f>85+325</f>
        <v>410</v>
      </c>
      <c r="D22" s="134">
        <f t="shared" si="0"/>
        <v>210</v>
      </c>
    </row>
    <row r="23" spans="2:4" x14ac:dyDescent="0.3">
      <c r="B23" s="9" t="s">
        <v>215</v>
      </c>
      <c r="C23" s="25">
        <f>92+325</f>
        <v>417</v>
      </c>
      <c r="D23" s="134">
        <f t="shared" si="0"/>
        <v>210</v>
      </c>
    </row>
    <row r="24" spans="2:4" x14ac:dyDescent="0.3">
      <c r="B24" s="9" t="s">
        <v>216</v>
      </c>
      <c r="C24" s="25">
        <f>105+325</f>
        <v>430</v>
      </c>
      <c r="D24" s="134">
        <f t="shared" si="0"/>
        <v>220</v>
      </c>
    </row>
    <row r="25" spans="2:4" x14ac:dyDescent="0.3">
      <c r="B25" s="9" t="s">
        <v>217</v>
      </c>
      <c r="C25" s="25">
        <f>130+325</f>
        <v>455</v>
      </c>
      <c r="D25" s="134">
        <f t="shared" si="0"/>
        <v>230</v>
      </c>
    </row>
    <row r="26" spans="2:4" x14ac:dyDescent="0.3">
      <c r="B26" s="9" t="s">
        <v>218</v>
      </c>
      <c r="C26" s="25">
        <f>205+325+3*27</f>
        <v>611</v>
      </c>
      <c r="D26" s="134">
        <f t="shared" si="0"/>
        <v>310</v>
      </c>
    </row>
    <row r="27" spans="2:4" x14ac:dyDescent="0.3">
      <c r="B27" s="9" t="s">
        <v>219</v>
      </c>
      <c r="C27" s="25">
        <f>265+325+3*42</f>
        <v>716</v>
      </c>
      <c r="D27" s="134">
        <f t="shared" si="0"/>
        <v>360</v>
      </c>
    </row>
    <row r="28" spans="2:4" x14ac:dyDescent="0.3">
      <c r="B28" s="9"/>
      <c r="D28" s="134">
        <f t="shared" si="0"/>
        <v>0</v>
      </c>
    </row>
    <row r="29" spans="2:4" x14ac:dyDescent="0.3">
      <c r="B29" s="9"/>
      <c r="D29" s="134">
        <f t="shared" si="0"/>
        <v>0</v>
      </c>
    </row>
    <row r="30" spans="2:4" x14ac:dyDescent="0.3">
      <c r="B30" s="9" t="s">
        <v>251</v>
      </c>
      <c r="C30" s="25">
        <f>525+235</f>
        <v>760</v>
      </c>
      <c r="D30" s="134">
        <f t="shared" si="0"/>
        <v>380</v>
      </c>
    </row>
    <row r="31" spans="2:4" x14ac:dyDescent="0.3">
      <c r="B31" s="9"/>
      <c r="D31" s="134">
        <f t="shared" si="0"/>
        <v>0</v>
      </c>
    </row>
    <row r="32" spans="2:4" x14ac:dyDescent="0.3">
      <c r="B32" s="9"/>
      <c r="D32" s="134">
        <f t="shared" si="0"/>
        <v>0</v>
      </c>
    </row>
    <row r="33" spans="2:4" x14ac:dyDescent="0.3">
      <c r="B33" s="9"/>
      <c r="D33" s="134">
        <f t="shared" si="0"/>
        <v>0</v>
      </c>
    </row>
    <row r="34" spans="2:4" x14ac:dyDescent="0.3">
      <c r="B34" s="9" t="s">
        <v>211</v>
      </c>
      <c r="C34" s="25">
        <v>550</v>
      </c>
      <c r="D34" s="134">
        <f t="shared" si="0"/>
        <v>280</v>
      </c>
    </row>
    <row r="35" spans="2:4" x14ac:dyDescent="0.3">
      <c r="B35" s="9" t="s">
        <v>209</v>
      </c>
      <c r="C35" s="25">
        <v>560</v>
      </c>
      <c r="D35" s="134">
        <f t="shared" si="0"/>
        <v>280</v>
      </c>
    </row>
    <row r="36" spans="2:4" x14ac:dyDescent="0.3">
      <c r="B36" s="9" t="s">
        <v>210</v>
      </c>
      <c r="C36" s="25">
        <v>815</v>
      </c>
      <c r="D36" s="134">
        <f t="shared" si="0"/>
        <v>410</v>
      </c>
    </row>
    <row r="37" spans="2:4" x14ac:dyDescent="0.3">
      <c r="B37" s="154" t="s">
        <v>458</v>
      </c>
      <c r="C37" s="25">
        <v>1300</v>
      </c>
      <c r="D37" s="134">
        <f t="shared" ref="D37" si="1">+CEILING(C37*(1-$C$2)*(1-$D$2)*(1+$C$3),10)</f>
        <v>650</v>
      </c>
    </row>
    <row r="38" spans="2:4" x14ac:dyDescent="0.3">
      <c r="B38" s="9"/>
      <c r="D38" s="134">
        <f t="shared" si="0"/>
        <v>0</v>
      </c>
    </row>
    <row r="39" spans="2:4" x14ac:dyDescent="0.3">
      <c r="B39" s="9"/>
      <c r="D39" s="134">
        <f t="shared" si="0"/>
        <v>0</v>
      </c>
    </row>
    <row r="40" spans="2:4" x14ac:dyDescent="0.3">
      <c r="B40" s="9"/>
      <c r="D40" s="134">
        <f t="shared" si="0"/>
        <v>0</v>
      </c>
    </row>
    <row r="41" spans="2:4" x14ac:dyDescent="0.3">
      <c r="B41" s="9"/>
      <c r="D41" s="134">
        <f t="shared" si="0"/>
        <v>0</v>
      </c>
    </row>
    <row r="42" spans="2:4" x14ac:dyDescent="0.3">
      <c r="B42" s="9"/>
      <c r="D42" s="134">
        <f t="shared" si="0"/>
        <v>0</v>
      </c>
    </row>
    <row r="43" spans="2:4" x14ac:dyDescent="0.3">
      <c r="D43" s="134">
        <f t="shared" si="0"/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4"/>
  <sheetViews>
    <sheetView workbookViewId="0">
      <selection activeCell="E16" sqref="E16"/>
    </sheetView>
  </sheetViews>
  <sheetFormatPr defaultRowHeight="14.4" x14ac:dyDescent="0.3"/>
  <cols>
    <col min="3" max="3" width="22.33203125" bestFit="1" customWidth="1"/>
    <col min="4" max="4" width="23.109375" style="153" bestFit="1" customWidth="1"/>
    <col min="5" max="5" width="14.44140625" bestFit="1" customWidth="1"/>
    <col min="9" max="9" width="14.44140625" bestFit="1" customWidth="1"/>
  </cols>
  <sheetData>
    <row r="2" spans="3:10" s="153" customFormat="1" x14ac:dyDescent="0.3"/>
    <row r="3" spans="3:10" s="153" customFormat="1" x14ac:dyDescent="0.3">
      <c r="D3" s="11"/>
    </row>
    <row r="4" spans="3:10" s="153" customFormat="1" x14ac:dyDescent="0.3">
      <c r="D4" s="11"/>
    </row>
    <row r="6" spans="3:10" x14ac:dyDescent="0.3">
      <c r="C6" s="154" t="s">
        <v>439</v>
      </c>
      <c r="D6" s="154"/>
      <c r="E6" s="154"/>
    </row>
    <row r="7" spans="3:10" ht="16.2" x14ac:dyDescent="0.3">
      <c r="C7" s="154" t="s">
        <v>441</v>
      </c>
      <c r="D7" s="154" t="s">
        <v>442</v>
      </c>
      <c r="E7" s="154" t="s">
        <v>440</v>
      </c>
      <c r="I7" s="154"/>
      <c r="J7" s="153"/>
    </row>
    <row r="8" spans="3:10" x14ac:dyDescent="0.3">
      <c r="C8" s="241" t="s">
        <v>443</v>
      </c>
      <c r="D8" s="241">
        <v>1.5</v>
      </c>
      <c r="E8" s="242">
        <v>800</v>
      </c>
      <c r="F8" s="241"/>
      <c r="I8" s="242"/>
      <c r="J8" s="241"/>
    </row>
    <row r="9" spans="3:10" x14ac:dyDescent="0.3">
      <c r="C9" s="241" t="s">
        <v>444</v>
      </c>
      <c r="D9" s="241">
        <v>2.5</v>
      </c>
      <c r="E9" s="242">
        <v>800</v>
      </c>
      <c r="F9" s="241" t="s">
        <v>451</v>
      </c>
      <c r="I9" s="242"/>
      <c r="J9" s="241"/>
    </row>
    <row r="10" spans="3:10" x14ac:dyDescent="0.3">
      <c r="C10" s="241" t="s">
        <v>445</v>
      </c>
      <c r="D10" s="241">
        <v>6</v>
      </c>
      <c r="E10" s="242">
        <v>1300</v>
      </c>
      <c r="F10" s="241" t="s">
        <v>451</v>
      </c>
      <c r="I10" s="242"/>
      <c r="J10" s="241"/>
    </row>
    <row r="11" spans="3:10" x14ac:dyDescent="0.3">
      <c r="C11" s="241" t="s">
        <v>446</v>
      </c>
      <c r="D11" s="241">
        <v>10</v>
      </c>
      <c r="E11" s="242">
        <v>1500</v>
      </c>
      <c r="F11" s="241" t="s">
        <v>451</v>
      </c>
      <c r="I11" s="242"/>
      <c r="J11" s="241"/>
    </row>
    <row r="12" spans="3:10" x14ac:dyDescent="0.3">
      <c r="C12" s="241" t="s">
        <v>447</v>
      </c>
      <c r="D12" s="241">
        <v>15</v>
      </c>
      <c r="E12" s="242">
        <v>1900</v>
      </c>
      <c r="F12" s="241" t="s">
        <v>451</v>
      </c>
      <c r="I12" s="242"/>
      <c r="J12" s="241"/>
    </row>
    <row r="13" spans="3:10" x14ac:dyDescent="0.3">
      <c r="C13" s="241" t="s">
        <v>448</v>
      </c>
      <c r="D13" s="241">
        <v>25</v>
      </c>
      <c r="E13" s="242">
        <v>2100</v>
      </c>
      <c r="F13" s="241" t="s">
        <v>451</v>
      </c>
      <c r="I13" s="242"/>
      <c r="J13" s="241"/>
    </row>
    <row r="14" spans="3:10" x14ac:dyDescent="0.3">
      <c r="C14" s="241" t="s">
        <v>449</v>
      </c>
      <c r="D14" s="241">
        <v>40</v>
      </c>
      <c r="E14" s="242">
        <v>2200</v>
      </c>
      <c r="F14" s="241"/>
      <c r="I14" s="242"/>
      <c r="J14" s="241"/>
    </row>
    <row r="15" spans="3:10" x14ac:dyDescent="0.3">
      <c r="C15" s="241" t="s">
        <v>450</v>
      </c>
      <c r="D15" s="241">
        <v>60</v>
      </c>
      <c r="E15" s="242">
        <v>2800</v>
      </c>
      <c r="F15" s="241"/>
      <c r="I15" s="242"/>
      <c r="J15" s="241"/>
    </row>
    <row r="16" spans="3:10" x14ac:dyDescent="0.3">
      <c r="C16" s="241"/>
      <c r="D16" s="241"/>
      <c r="E16" s="242"/>
      <c r="F16" s="241"/>
    </row>
    <row r="17" spans="5:5" x14ac:dyDescent="0.3">
      <c r="E17" s="25"/>
    </row>
    <row r="18" spans="5:5" x14ac:dyDescent="0.3">
      <c r="E18" s="25"/>
    </row>
    <row r="19" spans="5:5" x14ac:dyDescent="0.3">
      <c r="E19" s="25"/>
    </row>
    <row r="20" spans="5:5" x14ac:dyDescent="0.3">
      <c r="E20" s="25"/>
    </row>
    <row r="21" spans="5:5" x14ac:dyDescent="0.3">
      <c r="E21" s="25"/>
    </row>
    <row r="22" spans="5:5" x14ac:dyDescent="0.3">
      <c r="E22" s="25"/>
    </row>
    <row r="23" spans="5:5" x14ac:dyDescent="0.3">
      <c r="E23" s="25"/>
    </row>
    <row r="24" spans="5:5" x14ac:dyDescent="0.3">
      <c r="E24" s="25"/>
    </row>
    <row r="25" spans="5:5" x14ac:dyDescent="0.3">
      <c r="E25" s="25"/>
    </row>
    <row r="26" spans="5:5" x14ac:dyDescent="0.3">
      <c r="E26" s="25"/>
    </row>
    <row r="27" spans="5:5" x14ac:dyDescent="0.3">
      <c r="E27" s="25"/>
    </row>
    <row r="28" spans="5:5" x14ac:dyDescent="0.3">
      <c r="E28" s="25"/>
    </row>
    <row r="29" spans="5:5" x14ac:dyDescent="0.3">
      <c r="E29" s="25"/>
    </row>
    <row r="30" spans="5:5" x14ac:dyDescent="0.3">
      <c r="E30" s="25"/>
    </row>
    <row r="31" spans="5:5" x14ac:dyDescent="0.3">
      <c r="E31" s="25"/>
    </row>
    <row r="32" spans="5:5" x14ac:dyDescent="0.3">
      <c r="E32" s="25"/>
    </row>
    <row r="33" spans="5:5" x14ac:dyDescent="0.3">
      <c r="E33" s="25"/>
    </row>
    <row r="34" spans="5:5" x14ac:dyDescent="0.3">
      <c r="E34" s="25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zoomScale="90" zoomScaleNormal="90" workbookViewId="0">
      <selection activeCell="E24" sqref="E24"/>
    </sheetView>
  </sheetViews>
  <sheetFormatPr defaultRowHeight="14.4" x14ac:dyDescent="0.3"/>
  <cols>
    <col min="1" max="2" width="9.109375" style="157"/>
    <col min="3" max="3" width="58" bestFit="1" customWidth="1"/>
    <col min="4" max="4" width="11.6640625" style="247" customWidth="1"/>
    <col min="5" max="5" width="16" customWidth="1"/>
    <col min="6" max="6" width="11" customWidth="1"/>
    <col min="7" max="7" width="13.6640625" style="153" customWidth="1"/>
    <col min="8" max="8" width="11" style="153" customWidth="1"/>
    <col min="9" max="9" width="16" customWidth="1"/>
    <col min="10" max="10" width="14.5546875" style="153" customWidth="1"/>
    <col min="11" max="11" width="9.5546875" bestFit="1" customWidth="1"/>
    <col min="12" max="12" width="12" bestFit="1" customWidth="1"/>
  </cols>
  <sheetData>
    <row r="2" spans="1:12" s="251" customFormat="1" ht="28.8" x14ac:dyDescent="0.3">
      <c r="A2" s="251" t="s">
        <v>497</v>
      </c>
      <c r="B2" s="251" t="s">
        <v>501</v>
      </c>
      <c r="C2" s="251" t="s">
        <v>493</v>
      </c>
      <c r="D2" s="252" t="s">
        <v>76</v>
      </c>
      <c r="E2" s="251" t="s">
        <v>494</v>
      </c>
      <c r="F2" s="251" t="s">
        <v>495</v>
      </c>
      <c r="G2" s="251" t="s">
        <v>499</v>
      </c>
      <c r="I2" s="251" t="s">
        <v>496</v>
      </c>
      <c r="J2" s="251" t="s">
        <v>499</v>
      </c>
      <c r="K2" s="254" t="s">
        <v>498</v>
      </c>
      <c r="L2" s="251" t="s">
        <v>500</v>
      </c>
    </row>
    <row r="3" spans="1:12" x14ac:dyDescent="0.3">
      <c r="A3" s="157">
        <f>+Riassunto!B4</f>
        <v>1</v>
      </c>
      <c r="B3" s="157">
        <f>+Riassunto!C4</f>
        <v>1</v>
      </c>
      <c r="C3" t="str">
        <f>+Riassunto!D4</f>
        <v>Municipio</v>
      </c>
      <c r="D3" s="247">
        <f>+ROUND(Riassunto!G4,0)</f>
        <v>28623</v>
      </c>
      <c r="E3" s="248">
        <f>+D3*9.45</f>
        <v>270487.34999999998</v>
      </c>
      <c r="F3" s="249">
        <f>1-((1-Riassunto!T4)*(1-Riassunto!W4)*(1-Riassunto!Z4)*(1-Riassunto!AC4)*(1-Riassunto!AF4))</f>
        <v>0.17436236800000005</v>
      </c>
      <c r="G3" s="255">
        <f t="shared" ref="G3:G29" si="0">+F3*E3</f>
        <v>47162.814860044811</v>
      </c>
      <c r="H3" s="249"/>
      <c r="I3" s="250">
        <f>+F3</f>
        <v>0.17436236800000005</v>
      </c>
      <c r="J3" s="255">
        <f>+I3*E3</f>
        <v>47162.814860044811</v>
      </c>
      <c r="K3" s="253">
        <f t="shared" ref="K3:K29" si="1">+J3/11630</f>
        <v>4.0552721289806373</v>
      </c>
      <c r="L3" s="186">
        <f t="shared" ref="L3:L29" si="2">+J3*3.6*55.841/10^6</f>
        <v>9.4810274805591437</v>
      </c>
    </row>
    <row r="4" spans="1:12" x14ac:dyDescent="0.3">
      <c r="A4" s="157">
        <f>+Riassunto!B5</f>
        <v>2</v>
      </c>
      <c r="B4" s="157">
        <f>+Riassunto!C5</f>
        <v>2</v>
      </c>
      <c r="C4" s="153" t="str">
        <f>+Riassunto!D5</f>
        <v>Ca' Emo</v>
      </c>
      <c r="D4" s="247">
        <f>+ROUND(Riassunto!G5,0)</f>
        <v>6603</v>
      </c>
      <c r="E4" s="248">
        <f t="shared" ref="E3:E29" si="3">+D4*9.45</f>
        <v>62398.35</v>
      </c>
      <c r="F4" s="249">
        <f>1-((1-Riassunto!T5)*(1-Riassunto!W5)*(1-Riassunto!Z5)*(1-Riassunto!AC5)*(1-Riassunto!AF5))</f>
        <v>0</v>
      </c>
      <c r="G4" s="255">
        <f t="shared" si="0"/>
        <v>0</v>
      </c>
      <c r="H4" s="249"/>
      <c r="I4" s="250">
        <f t="shared" ref="I4:I29" si="4">+F4</f>
        <v>0</v>
      </c>
      <c r="J4" s="255">
        <f t="shared" ref="J3:J29" si="5">+I4*E4</f>
        <v>0</v>
      </c>
      <c r="K4" s="253">
        <f t="shared" si="1"/>
        <v>0</v>
      </c>
      <c r="L4" s="186">
        <f t="shared" si="2"/>
        <v>0</v>
      </c>
    </row>
    <row r="5" spans="1:12" x14ac:dyDescent="0.3">
      <c r="A5" s="157">
        <f>+Riassunto!B6</f>
        <v>3</v>
      </c>
      <c r="B5" s="157">
        <f>+Riassunto!C6</f>
        <v>3</v>
      </c>
      <c r="C5" s="153" t="str">
        <f>+Riassunto!D6</f>
        <v>S. Paolo Museo - Ex Chiesa</v>
      </c>
      <c r="D5" s="247">
        <f>+ROUND(Riassunto!G6,0)</f>
        <v>8580</v>
      </c>
      <c r="E5" s="248">
        <f t="shared" si="3"/>
        <v>81081</v>
      </c>
      <c r="F5" s="249">
        <f>1-((1-Riassunto!T6)*(1-Riassunto!W6)*(1-Riassunto!Z6)*(1-Riassunto!AC6)*(1-Riassunto!AF6))</f>
        <v>2.0000000000000018E-2</v>
      </c>
      <c r="G5" s="255">
        <f t="shared" si="0"/>
        <v>1621.6200000000015</v>
      </c>
      <c r="H5" s="249"/>
      <c r="I5" s="250">
        <f t="shared" si="4"/>
        <v>2.0000000000000018E-2</v>
      </c>
      <c r="J5" s="255">
        <f t="shared" si="5"/>
        <v>1621.6200000000015</v>
      </c>
      <c r="K5" s="253">
        <f t="shared" si="1"/>
        <v>0.13943422184006893</v>
      </c>
      <c r="L5" s="186">
        <f t="shared" si="2"/>
        <v>0.32599037671200037</v>
      </c>
    </row>
    <row r="6" spans="1:12" x14ac:dyDescent="0.3">
      <c r="A6" s="157">
        <f>+Riassunto!B7</f>
        <v>4</v>
      </c>
      <c r="B6" s="157">
        <f>+Riassunto!C7</f>
        <v>3</v>
      </c>
      <c r="C6" s="153" t="str">
        <f>+Riassunto!D7</f>
        <v>S. Paolo Museo - Uffici</v>
      </c>
      <c r="D6" s="247">
        <f>+ROUND(Riassunto!G7,0)</f>
        <v>7693</v>
      </c>
      <c r="E6" s="248">
        <f t="shared" si="3"/>
        <v>72698.849999999991</v>
      </c>
      <c r="F6" s="249">
        <f>1-((1-Riassunto!T7)*(1-Riassunto!W7)*(1-Riassunto!Z7)*(1-Riassunto!AC7)*(1-Riassunto!AF7))</f>
        <v>2.0000000000000018E-2</v>
      </c>
      <c r="G6" s="255">
        <f t="shared" si="0"/>
        <v>1453.9770000000012</v>
      </c>
      <c r="H6" s="249"/>
      <c r="I6" s="250">
        <f t="shared" si="4"/>
        <v>2.0000000000000018E-2</v>
      </c>
      <c r="J6" s="255">
        <f t="shared" si="5"/>
        <v>1453.9770000000012</v>
      </c>
      <c r="K6" s="253">
        <f t="shared" si="1"/>
        <v>0.1250195184866725</v>
      </c>
      <c r="L6" s="186">
        <f t="shared" si="2"/>
        <v>0.29228950676520027</v>
      </c>
    </row>
    <row r="7" spans="1:12" x14ac:dyDescent="0.3">
      <c r="A7" s="157">
        <f>+Riassunto!B8</f>
        <v>5</v>
      </c>
      <c r="B7" s="157">
        <f>+Riassunto!C8</f>
        <v>6</v>
      </c>
      <c r="C7" s="153" t="str">
        <f>+Riassunto!D8</f>
        <v>Centro La Ginestra / Casa Albergo</v>
      </c>
      <c r="D7" s="247">
        <f>+ROUND(Riassunto!G8,0)</f>
        <v>16946</v>
      </c>
      <c r="E7" s="248">
        <f t="shared" si="3"/>
        <v>160139.69999999998</v>
      </c>
      <c r="F7" s="249">
        <f>1-((1-Riassunto!T8)*(1-Riassunto!W8)*(1-Riassunto!Z8)*(1-Riassunto!AC8)*(1-Riassunto!AF8))</f>
        <v>0.33142073599999999</v>
      </c>
      <c r="G7" s="255">
        <f t="shared" si="0"/>
        <v>53073.617236819191</v>
      </c>
      <c r="H7" s="249"/>
      <c r="I7" s="250">
        <f t="shared" si="4"/>
        <v>0.33142073599999999</v>
      </c>
      <c r="J7" s="255">
        <f t="shared" si="5"/>
        <v>53073.617236819191</v>
      </c>
      <c r="K7" s="253">
        <f t="shared" si="1"/>
        <v>4.5635096506293369</v>
      </c>
      <c r="L7" s="186">
        <f t="shared" si="2"/>
        <v>10.669261896436394</v>
      </c>
    </row>
    <row r="8" spans="1:12" x14ac:dyDescent="0.3">
      <c r="A8" s="157">
        <f>+Riassunto!B9</f>
        <v>6</v>
      </c>
      <c r="B8" s="157">
        <f>+Riassunto!C9</f>
        <v>14</v>
      </c>
      <c r="C8" s="153" t="str">
        <f>+Riassunto!D9</f>
        <v>Biblioteca</v>
      </c>
      <c r="D8" s="247">
        <f>+ROUND(Riassunto!G9,0)</f>
        <v>11879</v>
      </c>
      <c r="E8" s="248">
        <f t="shared" si="3"/>
        <v>112256.54999999999</v>
      </c>
      <c r="F8" s="249">
        <f>1-((1-Riassunto!T9)*(1-Riassunto!W9)*(1-Riassunto!Z9)*(1-Riassunto!AC9)*(1-Riassunto!AF9))</f>
        <v>8.8564167999999999E-2</v>
      </c>
      <c r="G8" s="255">
        <f t="shared" si="0"/>
        <v>9941.9079533003987</v>
      </c>
      <c r="H8" s="249"/>
      <c r="I8" s="250">
        <f t="shared" si="4"/>
        <v>8.8564167999999999E-2</v>
      </c>
      <c r="J8" s="255">
        <f t="shared" si="5"/>
        <v>9941.9079533003987</v>
      </c>
      <c r="K8" s="253">
        <f t="shared" si="1"/>
        <v>0.854850210945864</v>
      </c>
      <c r="L8" s="186">
        <f t="shared" si="2"/>
        <v>1.9985978952728913</v>
      </c>
    </row>
    <row r="9" spans="1:12" x14ac:dyDescent="0.3">
      <c r="A9" s="157">
        <f>+Riassunto!B10</f>
        <v>7</v>
      </c>
      <c r="B9" s="157">
        <f>+Riassunto!C10</f>
        <v>25</v>
      </c>
      <c r="C9" s="153" t="str">
        <f>+Riassunto!D10</f>
        <v>Palestra G.Cini/Tortorini</v>
      </c>
      <c r="D9" s="247">
        <f>+ROUND(Riassunto!G10,0)</f>
        <v>14141</v>
      </c>
      <c r="E9" s="248">
        <f t="shared" si="3"/>
        <v>133632.44999999998</v>
      </c>
      <c r="F9" s="249">
        <f>1-((1-Riassunto!T10)*(1-Riassunto!W10)*(1-Riassunto!Z10)*(1-Riassunto!AC10)*(1-Riassunto!AF10))</f>
        <v>2.362763999999995E-2</v>
      </c>
      <c r="G9" s="255">
        <f t="shared" si="0"/>
        <v>3157.4194209179927</v>
      </c>
      <c r="H9" s="249"/>
      <c r="I9" s="250">
        <f t="shared" si="4"/>
        <v>2.362763999999995E-2</v>
      </c>
      <c r="J9" s="255">
        <f t="shared" si="5"/>
        <v>3157.4194209179927</v>
      </c>
      <c r="K9" s="253">
        <f t="shared" si="1"/>
        <v>0.27148920214256173</v>
      </c>
      <c r="L9" s="186">
        <f t="shared" si="2"/>
        <v>0.63472844838053399</v>
      </c>
    </row>
    <row r="10" spans="1:12" x14ac:dyDescent="0.3">
      <c r="A10" s="157">
        <f>+Riassunto!B11</f>
        <v>8</v>
      </c>
      <c r="B10" s="157">
        <f>+Riassunto!C11</f>
        <v>26</v>
      </c>
      <c r="C10" s="153" t="str">
        <f>+Riassunto!D11</f>
        <v>Scuola Materna Tortorini</v>
      </c>
      <c r="D10" s="247">
        <f>+ROUND(Riassunto!G11,0)</f>
        <v>14141</v>
      </c>
      <c r="E10" s="248">
        <f t="shared" si="3"/>
        <v>133632.44999999998</v>
      </c>
      <c r="F10" s="249">
        <f>1-((1-Riassunto!T11)*(1-Riassunto!W11)*(1-Riassunto!Z11)*(1-Riassunto!AC11)*(1-Riassunto!AF11))</f>
        <v>0.15380376000000007</v>
      </c>
      <c r="G10" s="255">
        <f t="shared" si="0"/>
        <v>20553.173268012008</v>
      </c>
      <c r="H10" s="249"/>
      <c r="I10" s="250">
        <f t="shared" si="4"/>
        <v>0.15380376000000007</v>
      </c>
      <c r="J10" s="255">
        <f t="shared" si="5"/>
        <v>20553.173268012008</v>
      </c>
      <c r="K10" s="253">
        <f t="shared" si="1"/>
        <v>1.7672547951858992</v>
      </c>
      <c r="L10" s="186">
        <f t="shared" si="2"/>
        <v>4.1317550944526111</v>
      </c>
    </row>
    <row r="11" spans="1:12" x14ac:dyDescent="0.3">
      <c r="A11" s="157">
        <f>+Riassunto!B15</f>
        <v>12</v>
      </c>
      <c r="B11" s="157">
        <f>+Riassunto!C15</f>
        <v>27</v>
      </c>
      <c r="C11" s="153" t="str">
        <f>+Riassunto!D15</f>
        <v>Scuola Materna S.M. Goretti</v>
      </c>
      <c r="D11" s="247">
        <f>+ROUND(Riassunto!G15,0)</f>
        <v>11454</v>
      </c>
      <c r="E11" s="248">
        <f t="shared" si="3"/>
        <v>108240.29999999999</v>
      </c>
      <c r="F11" s="249">
        <f>1-((1-Riassunto!T15)*(1-Riassunto!W15)*(1-Riassunto!Z15)*(1-Riassunto!AC15)*(1-Riassunto!AF15))</f>
        <v>0.25057232800000007</v>
      </c>
      <c r="G11" s="255">
        <f t="shared" si="0"/>
        <v>27122.023954418404</v>
      </c>
      <c r="H11" s="249"/>
      <c r="I11" s="250">
        <f t="shared" si="4"/>
        <v>0.25057232800000007</v>
      </c>
      <c r="J11" s="255">
        <f t="shared" si="5"/>
        <v>27122.023954418404</v>
      </c>
      <c r="K11" s="253">
        <f t="shared" si="1"/>
        <v>2.3320742867083752</v>
      </c>
      <c r="L11" s="186">
        <f t="shared" si="2"/>
        <v>5.4522753826992405</v>
      </c>
    </row>
    <row r="12" spans="1:12" x14ac:dyDescent="0.3">
      <c r="A12" s="157">
        <f>+Riassunto!B16</f>
        <v>13</v>
      </c>
      <c r="B12" s="157">
        <f>+Riassunto!C16</f>
        <v>28</v>
      </c>
      <c r="C12" s="153" t="str">
        <f>+Riassunto!D16</f>
        <v>Scuola Materna S.M. Carmine</v>
      </c>
      <c r="D12" s="247">
        <f>+ROUND(Riassunto!G16,0)</f>
        <v>13122</v>
      </c>
      <c r="E12" s="248">
        <f t="shared" si="3"/>
        <v>124002.9</v>
      </c>
      <c r="F12" s="249">
        <f>1-((1-Riassunto!T16)*(1-Riassunto!W16)*(1-Riassunto!Z16)*(1-Riassunto!AC16)*(1-Riassunto!AF16))</f>
        <v>2.5759250000000122E-2</v>
      </c>
      <c r="G12" s="255">
        <f t="shared" si="0"/>
        <v>3194.2217018250149</v>
      </c>
      <c r="H12" s="249"/>
      <c r="I12" s="250">
        <f t="shared" si="4"/>
        <v>2.5759250000000122E-2</v>
      </c>
      <c r="J12" s="255">
        <f t="shared" si="5"/>
        <v>3194.2217018250149</v>
      </c>
      <c r="K12" s="253">
        <f t="shared" si="1"/>
        <v>0.27465362870378457</v>
      </c>
      <c r="L12" s="186">
        <f t="shared" si="2"/>
        <v>0.64212672258579839</v>
      </c>
    </row>
    <row r="13" spans="1:12" x14ac:dyDescent="0.3">
      <c r="A13" s="157">
        <f>+Riassunto!B17</f>
        <v>14</v>
      </c>
      <c r="B13" s="157">
        <f>+Riassunto!C17</f>
        <v>29</v>
      </c>
      <c r="C13" s="153" t="str">
        <f>+Riassunto!D17</f>
        <v>Scuola Elementare V.Emanuele</v>
      </c>
      <c r="D13" s="247">
        <f>+ROUND(Riassunto!G17,0)</f>
        <v>29210</v>
      </c>
      <c r="E13" s="248">
        <f t="shared" si="3"/>
        <v>276034.5</v>
      </c>
      <c r="F13" s="249">
        <f>1-((1-Riassunto!T17)*(1-Riassunto!W17)*(1-Riassunto!Z17)*(1-Riassunto!AC17)*(1-Riassunto!AF17))</f>
        <v>0.31450075749333328</v>
      </c>
      <c r="G13" s="255">
        <f t="shared" si="0"/>
        <v>86813.059344293506</v>
      </c>
      <c r="H13" s="249"/>
      <c r="I13" s="250">
        <f t="shared" si="4"/>
        <v>0.31450075749333328</v>
      </c>
      <c r="J13" s="255">
        <f t="shared" si="5"/>
        <v>86813.059344293506</v>
      </c>
      <c r="K13" s="253">
        <f t="shared" si="1"/>
        <v>7.4645794793029667</v>
      </c>
      <c r="L13" s="186">
        <f t="shared" si="2"/>
        <v>17.451820968640899</v>
      </c>
    </row>
    <row r="14" spans="1:12" x14ac:dyDescent="0.3">
      <c r="A14" s="157">
        <f>+Riassunto!B12</f>
        <v>9</v>
      </c>
      <c r="B14" s="157">
        <f>+Riassunto!C12</f>
        <v>30</v>
      </c>
      <c r="C14" s="153" t="str">
        <f>+Riassunto!D12</f>
        <v>Scuola Elementare Giorgio Cini</v>
      </c>
      <c r="D14" s="247">
        <f>+ROUND(Riassunto!G12,0)</f>
        <v>26245</v>
      </c>
      <c r="E14" s="248">
        <f t="shared" si="3"/>
        <v>248015.24999999997</v>
      </c>
      <c r="F14" s="249">
        <f>1-((1-Riassunto!T12)*(1-Riassunto!W12)*(1-Riassunto!Z12)*(1-Riassunto!AC12)*(1-Riassunto!AF12))</f>
        <v>0.29471492663999999</v>
      </c>
      <c r="G14" s="255">
        <f t="shared" si="0"/>
        <v>73093.796209351247</v>
      </c>
      <c r="H14" s="249"/>
      <c r="I14" s="250">
        <f t="shared" si="4"/>
        <v>0.29471492663999999</v>
      </c>
      <c r="J14" s="255">
        <f t="shared" si="5"/>
        <v>73093.796209351247</v>
      </c>
      <c r="K14" s="253">
        <f t="shared" si="1"/>
        <v>6.2849351856707862</v>
      </c>
      <c r="L14" s="186">
        <f t="shared" si="2"/>
        <v>14.693870426854978</v>
      </c>
    </row>
    <row r="15" spans="1:12" x14ac:dyDescent="0.3">
      <c r="A15" s="157">
        <f>+Riassunto!B18</f>
        <v>15</v>
      </c>
      <c r="B15" s="157">
        <f>+Riassunto!C18</f>
        <v>31</v>
      </c>
      <c r="C15" s="153" t="str">
        <f>+Riassunto!D18</f>
        <v>Scuola Elementare Vittorio Cini</v>
      </c>
      <c r="D15" s="247">
        <f>+ROUND(Riassunto!G18,0)</f>
        <v>10813</v>
      </c>
      <c r="E15" s="248">
        <f t="shared" si="3"/>
        <v>102182.84999999999</v>
      </c>
      <c r="F15" s="249">
        <f>1-((1-Riassunto!T18)*(1-Riassunto!W18)*(1-Riassunto!Z18)*(1-Riassunto!AC18)*(1-Riassunto!AF18))</f>
        <v>2.5046447999999888E-2</v>
      </c>
      <c r="G15" s="255">
        <f t="shared" si="0"/>
        <v>2559.3174390167883</v>
      </c>
      <c r="H15" s="249"/>
      <c r="I15" s="250">
        <f t="shared" si="4"/>
        <v>2.5046447999999888E-2</v>
      </c>
      <c r="J15" s="255">
        <f t="shared" si="5"/>
        <v>2559.3174390167883</v>
      </c>
      <c r="K15" s="253">
        <f t="shared" si="1"/>
        <v>0.22006168865148654</v>
      </c>
      <c r="L15" s="186">
        <f t="shared" si="2"/>
        <v>0.51449344240369133</v>
      </c>
    </row>
    <row r="16" spans="1:12" x14ac:dyDescent="0.3">
      <c r="A16" s="157">
        <f>+Riassunto!B19</f>
        <v>16</v>
      </c>
      <c r="B16" s="157">
        <f>+Riassunto!C19</f>
        <v>32</v>
      </c>
      <c r="C16" s="153" t="str">
        <f>+Riassunto!D19</f>
        <v>Scuola Elementare D. Valeri</v>
      </c>
      <c r="D16" s="247">
        <f>+ROUND(Riassunto!G19,0)</f>
        <v>25236</v>
      </c>
      <c r="E16" s="248">
        <f t="shared" si="3"/>
        <v>238480.19999999998</v>
      </c>
      <c r="F16" s="249">
        <f>1-((1-Riassunto!T19)*(1-Riassunto!W19)*(1-Riassunto!Z19)*(1-Riassunto!AC19)*(1-Riassunto!AF19))</f>
        <v>0.14784768000000015</v>
      </c>
      <c r="G16" s="255">
        <f t="shared" si="0"/>
        <v>35258.744295936034</v>
      </c>
      <c r="H16" s="249"/>
      <c r="I16" s="250">
        <f t="shared" si="4"/>
        <v>0.14784768000000015</v>
      </c>
      <c r="J16" s="255">
        <f t="shared" si="5"/>
        <v>35258.744295936034</v>
      </c>
      <c r="K16" s="253">
        <f t="shared" si="1"/>
        <v>3.0317063023160822</v>
      </c>
      <c r="L16" s="186">
        <f t="shared" si="2"/>
        <v>7.0879807448257113</v>
      </c>
    </row>
    <row r="17" spans="1:12" x14ac:dyDescent="0.3">
      <c r="A17" s="157">
        <f>+Riassunto!B20</f>
        <v>17</v>
      </c>
      <c r="B17" s="157">
        <f>+Riassunto!C20</f>
        <v>33</v>
      </c>
      <c r="C17" s="153" t="str">
        <f>+Riassunto!D20</f>
        <v>Scuola Elementare D. Manin</v>
      </c>
      <c r="D17" s="247">
        <f>+ROUND(Riassunto!G20,0)</f>
        <v>13267</v>
      </c>
      <c r="E17" s="248">
        <f t="shared" si="3"/>
        <v>125373.15</v>
      </c>
      <c r="F17" s="249">
        <f>1-((1-Riassunto!T20)*(1-Riassunto!W20)*(1-Riassunto!Z20)*(1-Riassunto!AC20)*(1-Riassunto!AF20))</f>
        <v>0.21880892996266665</v>
      </c>
      <c r="G17" s="255">
        <f t="shared" si="0"/>
        <v>27432.764797548898</v>
      </c>
      <c r="H17" s="249"/>
      <c r="I17" s="250">
        <f t="shared" si="4"/>
        <v>0.21880892996266665</v>
      </c>
      <c r="J17" s="255">
        <f t="shared" si="5"/>
        <v>27432.764797548898</v>
      </c>
      <c r="K17" s="253">
        <f t="shared" si="1"/>
        <v>2.3587931898150387</v>
      </c>
      <c r="L17" s="186">
        <f t="shared" si="2"/>
        <v>5.5147428686157411</v>
      </c>
    </row>
    <row r="18" spans="1:12" x14ac:dyDescent="0.3">
      <c r="A18" s="157">
        <f>+Riassunto!B21</f>
        <v>18</v>
      </c>
      <c r="B18" s="157">
        <f>+Riassunto!C21</f>
        <v>34</v>
      </c>
      <c r="C18" s="153" t="str">
        <f>+Riassunto!D21</f>
        <v>Scuola Elementare B. Bussolin - Scuola e Mensa</v>
      </c>
      <c r="D18" s="247">
        <f>+ROUND(Riassunto!G21,0)</f>
        <v>10009</v>
      </c>
      <c r="E18" s="248">
        <f t="shared" si="3"/>
        <v>94585.049999999988</v>
      </c>
      <c r="F18" s="249">
        <f>1-((1-Riassunto!T21)*(1-Riassunto!W21)*(1-Riassunto!Z21)*(1-Riassunto!AC21)*(1-Riassunto!AF21))</f>
        <v>3.8394488000000004E-2</v>
      </c>
      <c r="G18" s="255">
        <f t="shared" si="0"/>
        <v>3631.5445672043998</v>
      </c>
      <c r="H18" s="249"/>
      <c r="I18" s="250">
        <f t="shared" si="4"/>
        <v>3.8394488000000004E-2</v>
      </c>
      <c r="J18" s="255">
        <f t="shared" si="5"/>
        <v>3631.5445672043998</v>
      </c>
      <c r="K18" s="253">
        <f t="shared" si="1"/>
        <v>0.31225662658679276</v>
      </c>
      <c r="L18" s="186">
        <f t="shared" si="2"/>
        <v>0.7300406886381392</v>
      </c>
    </row>
    <row r="19" spans="1:12" x14ac:dyDescent="0.3">
      <c r="A19" s="157">
        <f>+Riassunto!B22</f>
        <v>19</v>
      </c>
      <c r="B19" s="157">
        <f>+Riassunto!C22</f>
        <v>35</v>
      </c>
      <c r="C19" s="153" t="str">
        <f>+Riassunto!D22</f>
        <v>Istituto Comprensivo G.Zanellato - Elementare, Media e Mensa</v>
      </c>
      <c r="D19" s="247">
        <f>+ROUND(Riassunto!G22,0)</f>
        <v>68469</v>
      </c>
      <c r="E19" s="248">
        <f t="shared" si="3"/>
        <v>647032.04999999993</v>
      </c>
      <c r="F19" s="249">
        <f>1-((1-Riassunto!T22)*(1-Riassunto!W22)*(1-Riassunto!Z22)*(1-Riassunto!AC22)*(1-Riassunto!AF22))</f>
        <v>6.6088319999999978E-2</v>
      </c>
      <c r="G19" s="255">
        <f t="shared" si="0"/>
        <v>42761.261170655984</v>
      </c>
      <c r="H19" s="249"/>
      <c r="I19" s="250">
        <f t="shared" si="4"/>
        <v>6.6088319999999978E-2</v>
      </c>
      <c r="J19" s="255">
        <f t="shared" si="5"/>
        <v>42761.261170655984</v>
      </c>
      <c r="K19" s="253">
        <f t="shared" si="1"/>
        <v>3.6768066354820279</v>
      </c>
      <c r="L19" s="186">
        <f t="shared" si="2"/>
        <v>8.5961937061101619</v>
      </c>
    </row>
    <row r="20" spans="1:12" x14ac:dyDescent="0.3">
      <c r="A20" s="157">
        <f>+Riassunto!B23</f>
        <v>20</v>
      </c>
      <c r="B20" s="157">
        <f>+Riassunto!C23</f>
        <v>36</v>
      </c>
      <c r="C20" s="153" t="str">
        <f>+Riassunto!D23</f>
        <v>Scuola Media G. Guinizelli</v>
      </c>
      <c r="D20" s="247">
        <f>+ROUND(Riassunto!G23,0)</f>
        <v>64887</v>
      </c>
      <c r="E20" s="248">
        <f t="shared" si="3"/>
        <v>613182.14999999991</v>
      </c>
      <c r="F20" s="249">
        <f>1-((1-Riassunto!T23)*(1-Riassunto!W23)*(1-Riassunto!Z23)*(1-Riassunto!AC23)*(1-Riassunto!AF23))</f>
        <v>0.18686304000000009</v>
      </c>
      <c r="G20" s="255">
        <f t="shared" si="0"/>
        <v>114581.08062273604</v>
      </c>
      <c r="H20" s="249"/>
      <c r="I20" s="250">
        <f t="shared" si="4"/>
        <v>0.18686304000000009</v>
      </c>
      <c r="J20" s="255">
        <f t="shared" si="5"/>
        <v>114581.08062273604</v>
      </c>
      <c r="K20" s="253">
        <f t="shared" si="1"/>
        <v>9.8521995376385245</v>
      </c>
      <c r="L20" s="186">
        <f t="shared" si="2"/>
        <v>23.033959642995136</v>
      </c>
    </row>
    <row r="21" spans="1:12" x14ac:dyDescent="0.3">
      <c r="A21" s="157">
        <f>+Riassunto!B24</f>
        <v>21</v>
      </c>
      <c r="B21" s="157">
        <f>+Riassunto!C24</f>
        <v>39</v>
      </c>
      <c r="C21" s="153" t="str">
        <f>+Riassunto!D24</f>
        <v>Associazione Alpini</v>
      </c>
      <c r="D21" s="247">
        <f>+ROUND(Riassunto!G24,0)</f>
        <v>300</v>
      </c>
      <c r="E21" s="248">
        <f t="shared" si="3"/>
        <v>2835</v>
      </c>
      <c r="F21" s="249">
        <f>1-((1-Riassunto!T24)*(1-Riassunto!W24)*(1-Riassunto!Z24)*(1-Riassunto!AC24)*(1-Riassunto!AF24))</f>
        <v>0</v>
      </c>
      <c r="G21" s="255">
        <f t="shared" si="0"/>
        <v>0</v>
      </c>
      <c r="H21" s="249"/>
      <c r="I21" s="250">
        <f t="shared" si="4"/>
        <v>0</v>
      </c>
      <c r="J21" s="255">
        <f t="shared" si="5"/>
        <v>0</v>
      </c>
      <c r="K21" s="253">
        <f t="shared" si="1"/>
        <v>0</v>
      </c>
      <c r="L21" s="186">
        <f t="shared" si="2"/>
        <v>0</v>
      </c>
    </row>
    <row r="22" spans="1:12" x14ac:dyDescent="0.3">
      <c r="A22" s="157">
        <f>+Riassunto!B25</f>
        <v>22</v>
      </c>
      <c r="B22" s="157">
        <f>+Riassunto!C25</f>
        <v>39</v>
      </c>
      <c r="C22" s="153" t="str">
        <f>+Riassunto!D25</f>
        <v>Associazioni S.Filippo</v>
      </c>
      <c r="D22" s="247">
        <f>+ROUND(Riassunto!G25,0)</f>
        <v>20325</v>
      </c>
      <c r="E22" s="248">
        <f t="shared" si="3"/>
        <v>192071.25</v>
      </c>
      <c r="F22" s="249">
        <f>1-((1-Riassunto!T25)*(1-Riassunto!W25)*(1-Riassunto!Z25)*(1-Riassunto!AC25)*(1-Riassunto!AF25))</f>
        <v>0.22254138880000007</v>
      </c>
      <c r="G22" s="255">
        <f t="shared" si="0"/>
        <v>42743.802723552013</v>
      </c>
      <c r="H22" s="249"/>
      <c r="I22" s="250">
        <f t="shared" si="4"/>
        <v>0.22254138880000007</v>
      </c>
      <c r="J22" s="255">
        <f t="shared" si="5"/>
        <v>42743.802723552013</v>
      </c>
      <c r="K22" s="253">
        <f t="shared" si="1"/>
        <v>3.6753054792392099</v>
      </c>
      <c r="L22" s="186">
        <f t="shared" si="2"/>
        <v>8.5926840763891246</v>
      </c>
    </row>
    <row r="23" spans="1:12" x14ac:dyDescent="0.3">
      <c r="A23" s="157">
        <f>+Riassunto!B13</f>
        <v>10</v>
      </c>
      <c r="B23" s="157">
        <f>+Riassunto!C13</f>
        <v>43</v>
      </c>
      <c r="C23" s="153" t="str">
        <f>+Riassunto!D13</f>
        <v>Associazione Itaka</v>
      </c>
      <c r="D23" s="247">
        <f>+ROUND(Riassunto!G13,0)</f>
        <v>5569</v>
      </c>
      <c r="E23" s="248">
        <f t="shared" si="3"/>
        <v>52627.049999999996</v>
      </c>
      <c r="F23" s="249">
        <f>1-((1-Riassunto!T13)*(1-Riassunto!W13)*(1-Riassunto!Z13)*(1-Riassunto!AC13)*(1-Riassunto!AF13))</f>
        <v>0.34879975920533324</v>
      </c>
      <c r="G23" s="255">
        <f t="shared" si="0"/>
        <v>18356.302367687033</v>
      </c>
      <c r="H23" s="249"/>
      <c r="I23" s="250">
        <f t="shared" si="4"/>
        <v>0.34879975920533324</v>
      </c>
      <c r="J23" s="255">
        <f t="shared" si="5"/>
        <v>18356.302367687033</v>
      </c>
      <c r="K23" s="253">
        <f t="shared" si="1"/>
        <v>1.5783578991992289</v>
      </c>
      <c r="L23" s="186">
        <f t="shared" si="2"/>
        <v>3.6901234098504418</v>
      </c>
    </row>
    <row r="24" spans="1:12" x14ac:dyDescent="0.3">
      <c r="A24" s="157">
        <f>+Riassunto!B26</f>
        <v>23</v>
      </c>
      <c r="B24" s="157">
        <f>+Riassunto!C26</f>
        <v>46</v>
      </c>
      <c r="C24" s="153" t="str">
        <f>+Riassunto!D26</f>
        <v>Magazzino Comunale</v>
      </c>
      <c r="D24" s="247">
        <f>+ROUND(Riassunto!G26,0)</f>
        <v>2573</v>
      </c>
      <c r="E24" s="248">
        <f t="shared" si="3"/>
        <v>24314.85</v>
      </c>
      <c r="F24" s="249">
        <f>1-((1-Riassunto!T26)*(1-Riassunto!W26)*(1-Riassunto!Z26)*(1-Riassunto!AC26)*(1-Riassunto!AF26))</f>
        <v>2.0000000000000018E-2</v>
      </c>
      <c r="G24" s="255">
        <f t="shared" si="0"/>
        <v>486.29700000000042</v>
      </c>
      <c r="H24" s="249"/>
      <c r="I24" s="250">
        <f t="shared" si="4"/>
        <v>2.0000000000000018E-2</v>
      </c>
      <c r="J24" s="255">
        <f t="shared" si="5"/>
        <v>486.29700000000042</v>
      </c>
      <c r="K24" s="253">
        <f t="shared" si="1"/>
        <v>4.1814015477214139E-2</v>
      </c>
      <c r="L24" s="186">
        <f t="shared" si="2"/>
        <v>9.775911879720009E-2</v>
      </c>
    </row>
    <row r="25" spans="1:12" x14ac:dyDescent="0.3">
      <c r="A25" s="157">
        <f>+Riassunto!B14</f>
        <v>11</v>
      </c>
      <c r="B25" s="157">
        <f>+Riassunto!C14</f>
        <v>47</v>
      </c>
      <c r="C25" s="153" t="str">
        <f>+Riassunto!D14</f>
        <v>Chiesetta Solario</v>
      </c>
      <c r="D25" s="247">
        <f>+ROUND(Riassunto!G14,0)</f>
        <v>7319</v>
      </c>
      <c r="E25" s="248">
        <f t="shared" si="3"/>
        <v>69164.549999999988</v>
      </c>
      <c r="F25" s="249">
        <f>1-((1-Riassunto!T14)*(1-Riassunto!W14)*(1-Riassunto!Z14)*(1-Riassunto!AC14)*(1-Riassunto!AF14))</f>
        <v>5.0000000000000044E-2</v>
      </c>
      <c r="G25" s="255">
        <f t="shared" si="0"/>
        <v>3458.2275000000027</v>
      </c>
      <c r="H25" s="249"/>
      <c r="I25" s="250">
        <f t="shared" si="4"/>
        <v>5.0000000000000044E-2</v>
      </c>
      <c r="J25" s="255">
        <f t="shared" si="5"/>
        <v>3458.2275000000027</v>
      </c>
      <c r="K25" s="253">
        <f t="shared" si="1"/>
        <v>0.29735404127257115</v>
      </c>
      <c r="L25" s="186">
        <f t="shared" si="2"/>
        <v>0.6951991745790006</v>
      </c>
    </row>
    <row r="26" spans="1:12" x14ac:dyDescent="0.3">
      <c r="A26" s="157">
        <f>+Riassunto!B27</f>
        <v>24</v>
      </c>
      <c r="B26" s="157">
        <f>+Riassunto!C27</f>
        <v>48</v>
      </c>
      <c r="C26" s="153" t="str">
        <f>+Riassunto!D27</f>
        <v>Palasport Schiavonia</v>
      </c>
      <c r="D26" s="247">
        <f>+ROUND(Riassunto!G27,0)</f>
        <v>43480</v>
      </c>
      <c r="E26" s="248">
        <f t="shared" si="3"/>
        <v>410885.99999999994</v>
      </c>
      <c r="F26" s="249">
        <f>1-((1-Riassunto!T27)*(1-Riassunto!W27)*(1-Riassunto!Z27)*(1-Riassunto!AC27)*(1-Riassunto!AF27))</f>
        <v>0</v>
      </c>
      <c r="G26" s="255">
        <f t="shared" si="0"/>
        <v>0</v>
      </c>
      <c r="H26" s="249"/>
      <c r="I26" s="250">
        <f t="shared" si="4"/>
        <v>0</v>
      </c>
      <c r="J26" s="255">
        <f t="shared" si="5"/>
        <v>0</v>
      </c>
      <c r="K26" s="253">
        <f t="shared" si="1"/>
        <v>0</v>
      </c>
      <c r="L26" s="186">
        <f t="shared" si="2"/>
        <v>0</v>
      </c>
    </row>
    <row r="27" spans="1:12" x14ac:dyDescent="0.3">
      <c r="A27" s="157">
        <f>+Riassunto!B28</f>
        <v>25</v>
      </c>
      <c r="B27" s="157">
        <f>+Riassunto!C28</f>
        <v>49</v>
      </c>
      <c r="C27" s="153" t="str">
        <f>+Riassunto!D28</f>
        <v>Casa Associazioni</v>
      </c>
      <c r="D27" s="247">
        <f>+ROUND(Riassunto!G28,0)</f>
        <v>5317</v>
      </c>
      <c r="E27" s="248">
        <f t="shared" si="3"/>
        <v>50245.649999999994</v>
      </c>
      <c r="F27" s="249">
        <f>1-((1-Riassunto!T28)*(1-Riassunto!W28)*(1-Riassunto!Z28)*(1-Riassunto!AC28)*(1-Riassunto!AF28))</f>
        <v>0.22808666666666666</v>
      </c>
      <c r="G27" s="255">
        <f t="shared" si="0"/>
        <v>11460.362822999998</v>
      </c>
      <c r="H27" s="249"/>
      <c r="I27" s="250">
        <f t="shared" si="4"/>
        <v>0.22808666666666666</v>
      </c>
      <c r="J27" s="255">
        <f t="shared" si="5"/>
        <v>11460.362822999998</v>
      </c>
      <c r="K27" s="253">
        <f t="shared" si="1"/>
        <v>0.98541382828890778</v>
      </c>
      <c r="L27" s="186">
        <f t="shared" si="2"/>
        <v>2.3038492334369147</v>
      </c>
    </row>
    <row r="28" spans="1:12" x14ac:dyDescent="0.3">
      <c r="A28" s="157">
        <f>+Riassunto!B29</f>
        <v>26</v>
      </c>
      <c r="B28" s="157">
        <f>+Riassunto!C29</f>
        <v>50</v>
      </c>
      <c r="C28" s="153" t="str">
        <f>+Riassunto!D29</f>
        <v>Associazioni</v>
      </c>
      <c r="D28" s="247">
        <f>+ROUND(Riassunto!G29,0)</f>
        <v>587</v>
      </c>
      <c r="E28" s="248">
        <f t="shared" si="3"/>
        <v>5547.15</v>
      </c>
      <c r="F28" s="249">
        <f>1-((1-Riassunto!T29)*(1-Riassunto!W29)*(1-Riassunto!Z29)*(1-Riassunto!AC29)*(1-Riassunto!AF29))</f>
        <v>0</v>
      </c>
      <c r="G28" s="255">
        <f t="shared" si="0"/>
        <v>0</v>
      </c>
      <c r="H28" s="249"/>
      <c r="I28" s="250">
        <f t="shared" si="4"/>
        <v>0</v>
      </c>
      <c r="J28" s="255">
        <f t="shared" si="5"/>
        <v>0</v>
      </c>
      <c r="K28" s="253">
        <f t="shared" si="1"/>
        <v>0</v>
      </c>
      <c r="L28" s="186">
        <f t="shared" si="2"/>
        <v>0</v>
      </c>
    </row>
    <row r="29" spans="1:12" x14ac:dyDescent="0.3">
      <c r="A29" s="157">
        <f>+Riassunto!B30</f>
        <v>27</v>
      </c>
      <c r="B29" s="157">
        <f>+Riassunto!C30</f>
        <v>52</v>
      </c>
      <c r="C29" s="153" t="str">
        <f>+Riassunto!D30</f>
        <v>Ex Canonica Di Marendole</v>
      </c>
      <c r="D29" s="247">
        <f>+ROUND(Riassunto!G30,0)</f>
        <v>0</v>
      </c>
      <c r="E29" s="248">
        <f t="shared" si="3"/>
        <v>0</v>
      </c>
      <c r="F29" s="249">
        <f>1-((1-Riassunto!T30)*(1-Riassunto!W30)*(1-Riassunto!Z30)*(1-Riassunto!AC30)*(1-Riassunto!AF30))</f>
        <v>0</v>
      </c>
      <c r="G29" s="255">
        <f t="shared" si="0"/>
        <v>0</v>
      </c>
      <c r="H29" s="249"/>
      <c r="I29" s="250">
        <f t="shared" si="4"/>
        <v>0</v>
      </c>
      <c r="J29" s="255">
        <f t="shared" si="5"/>
        <v>0</v>
      </c>
      <c r="K29" s="253">
        <f t="shared" si="1"/>
        <v>0</v>
      </c>
      <c r="L29" s="186">
        <f t="shared" si="2"/>
        <v>0</v>
      </c>
    </row>
    <row r="30" spans="1:12" x14ac:dyDescent="0.3">
      <c r="C30" s="153"/>
    </row>
    <row r="31" spans="1:12" x14ac:dyDescent="0.3">
      <c r="E31" s="248">
        <f>SUM(E3:E30)</f>
        <v>4411146.5999999996</v>
      </c>
      <c r="G31" s="248">
        <f>SUM(G3:G30)</f>
        <v>629917.33625631954</v>
      </c>
      <c r="J31" s="248">
        <f>SUM(J3:J30)</f>
        <v>629917.33625631954</v>
      </c>
      <c r="K31" s="253">
        <f>SUM(K3:K30)</f>
        <v>54.163141552564042</v>
      </c>
      <c r="L31" s="253">
        <f>SUM(L3:L30)</f>
        <v>126.63077030600097</v>
      </c>
    </row>
    <row r="33" spans="5:10" x14ac:dyDescent="0.3">
      <c r="E33" t="s">
        <v>34</v>
      </c>
      <c r="G33" s="256">
        <f>+G31/$E$31</f>
        <v>0.14280126991388578</v>
      </c>
      <c r="J33" s="256">
        <f>+J31/$E$31</f>
        <v>0.14280126991388578</v>
      </c>
    </row>
  </sheetData>
  <sortState ref="A3:L29">
    <sortCondition ref="B3:B29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J81"/>
  <sheetViews>
    <sheetView zoomScaleNormal="100" workbookViewId="0">
      <selection activeCell="D10" sqref="D10"/>
    </sheetView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/>
    <col min="8" max="10" width="12.6640625" hidden="1" customWidth="1"/>
    <col min="11" max="11" width="1.6640625" hidden="1" customWidth="1"/>
    <col min="12" max="12" width="45.6640625" hidden="1" customWidth="1"/>
    <col min="13" max="15" width="12.6640625" hidden="1" customWidth="1"/>
    <col min="16" max="16" width="1.6640625" hidden="1" customWidth="1"/>
    <col min="17" max="17" width="45.6640625" hidden="1" customWidth="1"/>
    <col min="18" max="20" width="12.6640625" hidden="1" customWidth="1"/>
    <col min="21" max="21" width="1.6640625" hidden="1" customWidth="1"/>
    <col min="22" max="22" width="45.6640625" hidden="1" customWidth="1"/>
    <col min="23" max="25" width="12.6640625" hidden="1" customWidth="1"/>
    <col min="26" max="26" width="1.6640625" hidden="1" customWidth="1"/>
    <col min="27" max="27" width="45.6640625" hidden="1" customWidth="1"/>
    <col min="28" max="30" width="12.6640625" hidden="1" customWidth="1"/>
    <col min="31" max="31" width="1.6640625" hidden="1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Riassunto!D4</f>
        <v>Municipio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+Riassunto!L4</f>
        <v>8205</v>
      </c>
      <c r="D2" s="306"/>
      <c r="E2" s="306"/>
    </row>
    <row r="3" spans="1:36" x14ac:dyDescent="0.3">
      <c r="A3" s="5"/>
      <c r="B3" s="5" t="s">
        <v>17</v>
      </c>
      <c r="C3" s="307">
        <f>Riassunto!I4</f>
        <v>470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57.282145033516151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0.88</v>
      </c>
      <c r="D8" s="108">
        <v>1</v>
      </c>
      <c r="E8" s="109">
        <f>+D8-C8</f>
        <v>0.12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0.88</v>
      </c>
      <c r="D9" s="108">
        <v>0.96</v>
      </c>
      <c r="E9" s="109">
        <f t="shared" ref="E9:E12" si="0">+D9-C9</f>
        <v>7.999999999999996E-2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0.90800000000000003</v>
      </c>
      <c r="D10" s="108">
        <v>0.91200000000000003</v>
      </c>
      <c r="E10" s="109">
        <f t="shared" si="0"/>
        <v>4.0000000000000036E-3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0.91</v>
      </c>
      <c r="D11" s="108">
        <v>0.93</v>
      </c>
      <c r="E11" s="109">
        <f t="shared" si="0"/>
        <v>2.0000000000000018E-2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0.63987123199999996</v>
      </c>
      <c r="D12" s="110">
        <f>+D8*D9*D10*D11</f>
        <v>0.8142336</v>
      </c>
      <c r="E12" s="111">
        <f t="shared" si="0"/>
        <v>0.17436236800000005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0.17436236800000005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47.294294581352837</v>
      </c>
      <c r="D17" s="70">
        <v>30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388.04968704000004</v>
      </c>
      <c r="D18" s="72">
        <f>+(D17*$C$2/1000)+$C$4</f>
        <v>246.15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87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 t="s">
        <v>171</v>
      </c>
      <c r="C22" s="65">
        <v>1</v>
      </c>
      <c r="D22" s="25">
        <v>1000</v>
      </c>
      <c r="E22" s="64">
        <f>+D22*C22</f>
        <v>1000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156" t="s">
        <v>224</v>
      </c>
      <c r="AG22" s="65">
        <v>1</v>
      </c>
      <c r="AH22" s="25">
        <v>80</v>
      </c>
      <c r="AI22" s="64">
        <f>+AH22*AG22</f>
        <v>80</v>
      </c>
      <c r="AJ22" s="64"/>
    </row>
    <row r="23" spans="1:36" x14ac:dyDescent="0.3">
      <c r="B23" s="12" t="s">
        <v>485</v>
      </c>
      <c r="C23" s="65">
        <v>1</v>
      </c>
      <c r="D23" s="25">
        <f>+Riello!AN5</f>
        <v>19500</v>
      </c>
      <c r="E23" s="64">
        <f t="shared" ref="E23:E32" si="3">+D23*C23</f>
        <v>19500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250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300</v>
      </c>
      <c r="Y23" s="64">
        <f t="shared" ref="Y23:Y32" si="7">+X23*W23</f>
        <v>0</v>
      </c>
      <c r="Z23" s="64"/>
      <c r="AA23" s="12" t="s">
        <v>52</v>
      </c>
      <c r="AB23" s="65">
        <v>0</v>
      </c>
      <c r="AC23" s="84">
        <v>120</v>
      </c>
      <c r="AD23" s="64">
        <f t="shared" ref="AD23:AD32" si="8">+AC23*AB23</f>
        <v>0</v>
      </c>
      <c r="AE23" s="64"/>
      <c r="AF23" s="156" t="s">
        <v>223</v>
      </c>
      <c r="AG23" s="65">
        <v>1</v>
      </c>
      <c r="AH23" s="25">
        <v>80</v>
      </c>
      <c r="AI23" s="64">
        <f t="shared" ref="AI23:AI32" si="9">+AH23*AG23</f>
        <v>80</v>
      </c>
      <c r="AJ23" s="64"/>
    </row>
    <row r="24" spans="1:36" x14ac:dyDescent="0.3">
      <c r="B24" s="12" t="s">
        <v>303</v>
      </c>
      <c r="C24" s="65">
        <v>1</v>
      </c>
      <c r="D24" s="25">
        <v>1800</v>
      </c>
      <c r="E24" s="64">
        <f t="shared" ref="E24:E26" si="10">+D24*C24</f>
        <v>1800</v>
      </c>
      <c r="F24" s="64"/>
      <c r="G24" s="76"/>
      <c r="H24" s="65"/>
      <c r="I24" s="25"/>
      <c r="J24" s="64">
        <f t="shared" ref="J24:J26" si="11">+I24*H24</f>
        <v>0</v>
      </c>
      <c r="K24" s="64"/>
      <c r="L24" s="76"/>
      <c r="M24" s="65"/>
      <c r="N24" s="25"/>
      <c r="O24" s="64">
        <f t="shared" ref="O24:O26" si="12">+N24*M24</f>
        <v>0</v>
      </c>
      <c r="P24" s="64"/>
      <c r="Q24" s="76"/>
      <c r="R24" s="65"/>
      <c r="S24" s="25"/>
      <c r="T24" s="64">
        <f t="shared" ref="T24:T26" si="13">+S24*R24</f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405</v>
      </c>
      <c r="AG24" s="65">
        <v>1</v>
      </c>
      <c r="AH24" s="25">
        <v>100</v>
      </c>
      <c r="AI24" s="64">
        <f t="shared" si="9"/>
        <v>100</v>
      </c>
      <c r="AJ24" s="64"/>
    </row>
    <row r="25" spans="1:36" x14ac:dyDescent="0.3">
      <c r="B25" s="156" t="s">
        <v>391</v>
      </c>
      <c r="C25" s="65">
        <v>1</v>
      </c>
      <c r="D25" s="25">
        <v>1500</v>
      </c>
      <c r="E25" s="64">
        <f t="shared" si="10"/>
        <v>1500</v>
      </c>
      <c r="F25" s="64"/>
      <c r="G25" s="76"/>
      <c r="H25" s="65"/>
      <c r="I25" s="25"/>
      <c r="J25" s="64">
        <f t="shared" si="11"/>
        <v>0</v>
      </c>
      <c r="K25" s="64"/>
      <c r="L25" s="76"/>
      <c r="M25" s="65"/>
      <c r="N25" s="25"/>
      <c r="O25" s="64">
        <f t="shared" si="12"/>
        <v>0</v>
      </c>
      <c r="P25" s="64"/>
      <c r="Q25" s="76"/>
      <c r="R25" s="65"/>
      <c r="S25" s="25"/>
      <c r="T25" s="64">
        <f t="shared" si="13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56" t="s">
        <v>401</v>
      </c>
      <c r="C26" s="65">
        <v>1</v>
      </c>
      <c r="D26" s="25">
        <v>1500</v>
      </c>
      <c r="E26" s="64">
        <f t="shared" si="10"/>
        <v>1500</v>
      </c>
      <c r="F26" s="64"/>
      <c r="G26" s="76"/>
      <c r="H26" s="65"/>
      <c r="I26" s="25"/>
      <c r="J26" s="64">
        <f t="shared" si="11"/>
        <v>0</v>
      </c>
      <c r="K26" s="64"/>
      <c r="L26" s="76"/>
      <c r="M26" s="65"/>
      <c r="N26" s="25"/>
      <c r="O26" s="64">
        <f t="shared" si="12"/>
        <v>0</v>
      </c>
      <c r="P26" s="64"/>
      <c r="Q26" s="76"/>
      <c r="R26" s="65"/>
      <c r="S26" s="25"/>
      <c r="T26" s="64">
        <f t="shared" si="13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56" t="s">
        <v>403</v>
      </c>
      <c r="C27" s="65">
        <v>1</v>
      </c>
      <c r="D27" s="25">
        <v>1500</v>
      </c>
      <c r="E27" s="64">
        <f t="shared" si="3"/>
        <v>1500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A28" s="153"/>
      <c r="B28" s="156" t="s">
        <v>328</v>
      </c>
      <c r="C28" s="65">
        <v>1</v>
      </c>
      <c r="D28" s="25">
        <v>500</v>
      </c>
      <c r="E28" s="64">
        <f t="shared" ref="E28:E29" si="14">+D28*C28</f>
        <v>500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A29" s="153"/>
      <c r="B29" s="156" t="s">
        <v>402</v>
      </c>
      <c r="C29" s="65">
        <v>1</v>
      </c>
      <c r="D29" s="25">
        <f>+Grundfos!F24</f>
        <v>2750</v>
      </c>
      <c r="E29" s="64">
        <f t="shared" si="14"/>
        <v>2750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156" t="s">
        <v>404</v>
      </c>
      <c r="C30" s="65">
        <v>1</v>
      </c>
      <c r="D30" s="25">
        <v>1500</v>
      </c>
      <c r="E30" s="64">
        <f t="shared" si="3"/>
        <v>1500</v>
      </c>
      <c r="G30" s="76"/>
      <c r="H30" s="6"/>
      <c r="J30" s="64">
        <f t="shared" si="4"/>
        <v>0</v>
      </c>
      <c r="L30" s="76"/>
      <c r="M30" s="65"/>
      <c r="N30" s="25"/>
      <c r="O30" s="64">
        <f t="shared" si="5"/>
        <v>0</v>
      </c>
      <c r="Q30" s="76"/>
      <c r="R30" s="65"/>
      <c r="S30" s="25"/>
      <c r="T30" s="64">
        <f t="shared" si="6"/>
        <v>0</v>
      </c>
      <c r="V30" s="76"/>
      <c r="W30" s="65"/>
      <c r="X30" s="25"/>
      <c r="Y30" s="64">
        <f t="shared" si="7"/>
        <v>0</v>
      </c>
      <c r="AA30" s="76"/>
      <c r="AB30" s="65"/>
      <c r="AC30" s="25"/>
      <c r="AD30" s="64">
        <f t="shared" si="8"/>
        <v>0</v>
      </c>
      <c r="AF30" s="76"/>
      <c r="AG30" s="65"/>
      <c r="AH30" s="25"/>
      <c r="AI30" s="64">
        <f t="shared" si="9"/>
        <v>0</v>
      </c>
    </row>
    <row r="31" spans="1:36" x14ac:dyDescent="0.3">
      <c r="B31" s="156" t="s">
        <v>452</v>
      </c>
      <c r="C31" s="65">
        <v>1</v>
      </c>
      <c r="D31" s="25">
        <f>'Contatori di energia'!E12</f>
        <v>1900</v>
      </c>
      <c r="E31" s="64">
        <f t="shared" si="3"/>
        <v>1900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156"/>
      <c r="C32" s="65"/>
      <c r="D32" s="64"/>
      <c r="E32" s="64">
        <f t="shared" si="3"/>
        <v>0</v>
      </c>
      <c r="G32" s="76"/>
      <c r="J32" s="64">
        <f t="shared" si="4"/>
        <v>0</v>
      </c>
      <c r="L32" s="76"/>
      <c r="M32" s="99"/>
      <c r="N32" s="25"/>
      <c r="O32" s="64">
        <f t="shared" si="5"/>
        <v>0</v>
      </c>
      <c r="Q32" s="76"/>
      <c r="R32" s="99"/>
      <c r="S32" s="25"/>
      <c r="T32" s="64">
        <f t="shared" si="6"/>
        <v>0</v>
      </c>
      <c r="V32" s="76"/>
      <c r="W32" s="99"/>
      <c r="X32" s="25"/>
      <c r="Y32" s="64">
        <f t="shared" si="7"/>
        <v>0</v>
      </c>
      <c r="AA32" s="76"/>
      <c r="AB32" s="99"/>
      <c r="AC32" s="25"/>
      <c r="AD32" s="64">
        <f t="shared" si="8"/>
        <v>0</v>
      </c>
      <c r="AF32" s="76"/>
      <c r="AG32" s="99"/>
      <c r="AH32" s="25"/>
      <c r="AI32" s="64">
        <f t="shared" si="9"/>
        <v>0</v>
      </c>
    </row>
    <row r="33" spans="1:36" x14ac:dyDescent="0.3">
      <c r="B33" s="155" t="s">
        <v>53</v>
      </c>
      <c r="C33" s="65">
        <v>120</v>
      </c>
      <c r="D33" s="25">
        <v>30</v>
      </c>
      <c r="E33" s="64">
        <f>+D33*C33</f>
        <v>3600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/>
      <c r="AG34" s="66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6">
        <v>1</v>
      </c>
      <c r="D35" s="25">
        <v>500</v>
      </c>
      <c r="E35" s="64">
        <f>+D35*C35</f>
        <v>500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/>
      <c r="AG35" s="66"/>
      <c r="AH35" s="25"/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37550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260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156" t="s">
        <v>320</v>
      </c>
      <c r="C40" s="65">
        <v>120</v>
      </c>
      <c r="D40" s="25">
        <v>50</v>
      </c>
      <c r="E40" s="64">
        <f t="shared" ref="E40:E46" si="15">+D40*C40</f>
        <v>6000</v>
      </c>
    </row>
    <row r="41" spans="1:36" x14ac:dyDescent="0.3">
      <c r="A41" s="24"/>
      <c r="B41" s="12"/>
      <c r="C41" s="65"/>
      <c r="D41" s="25"/>
      <c r="E41" s="64">
        <f t="shared" si="15"/>
        <v>0</v>
      </c>
    </row>
    <row r="42" spans="1:36" x14ac:dyDescent="0.3">
      <c r="A42" s="24"/>
      <c r="B42" s="76"/>
      <c r="C42" s="65"/>
      <c r="D42" s="25"/>
      <c r="E42" s="64">
        <f t="shared" si="15"/>
        <v>0</v>
      </c>
    </row>
    <row r="43" spans="1:36" x14ac:dyDescent="0.3">
      <c r="A43" s="24"/>
      <c r="B43" s="76"/>
      <c r="C43" s="65"/>
      <c r="D43" s="25"/>
      <c r="E43" s="64">
        <f t="shared" si="15"/>
        <v>0</v>
      </c>
    </row>
    <row r="44" spans="1:36" x14ac:dyDescent="0.3">
      <c r="B44" s="76"/>
      <c r="C44" s="65"/>
      <c r="D44" s="25"/>
      <c r="E44" s="64">
        <f t="shared" si="15"/>
        <v>0</v>
      </c>
    </row>
    <row r="45" spans="1:36" x14ac:dyDescent="0.3">
      <c r="B45" s="76"/>
      <c r="C45" s="65"/>
      <c r="D45" s="25"/>
      <c r="E45" s="64">
        <f t="shared" si="15"/>
        <v>0</v>
      </c>
    </row>
    <row r="46" spans="1:36" x14ac:dyDescent="0.3">
      <c r="B46" s="12"/>
      <c r="C46" s="65"/>
      <c r="D46" s="25"/>
      <c r="E46" s="64">
        <f t="shared" si="15"/>
        <v>0</v>
      </c>
    </row>
    <row r="47" spans="1:36" x14ac:dyDescent="0.3">
      <c r="B47" s="13"/>
      <c r="C47" s="66"/>
      <c r="D47" s="67"/>
      <c r="E47" s="64">
        <f>SUM(E38:E46)*D47</f>
        <v>0</v>
      </c>
    </row>
    <row r="48" spans="1:36" x14ac:dyDescent="0.3">
      <c r="B48" s="13" t="s">
        <v>23</v>
      </c>
      <c r="C48" s="66"/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6000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2" t="s">
        <v>220</v>
      </c>
      <c r="C53" s="65">
        <v>1</v>
      </c>
      <c r="D53" s="25">
        <f>VLOOKUP(B53,Coster!$B$5:$D$43,3,FALSE)</f>
        <v>310</v>
      </c>
      <c r="E53" s="64">
        <f t="shared" ref="E53:E63" si="16">+D53*C53</f>
        <v>310</v>
      </c>
    </row>
    <row r="54" spans="1:35" x14ac:dyDescent="0.3">
      <c r="B54" s="12" t="s">
        <v>200</v>
      </c>
      <c r="C54" s="65">
        <v>1</v>
      </c>
      <c r="D54" s="25">
        <f>VLOOKUP(B54,Coster!$B$5:$D$43,3,FALSE)</f>
        <v>630</v>
      </c>
      <c r="E54" s="64">
        <f t="shared" si="16"/>
        <v>630</v>
      </c>
    </row>
    <row r="55" spans="1:35" x14ac:dyDescent="0.3">
      <c r="B55" s="76" t="s">
        <v>203</v>
      </c>
      <c r="C55" s="65">
        <v>1</v>
      </c>
      <c r="D55" s="25">
        <f>VLOOKUP(B55,Coster!$B$5:$D$43,3,FALSE)</f>
        <v>30</v>
      </c>
      <c r="E55" s="64">
        <f t="shared" si="16"/>
        <v>30</v>
      </c>
    </row>
    <row r="56" spans="1:35" x14ac:dyDescent="0.3">
      <c r="B56" s="12" t="s">
        <v>305</v>
      </c>
      <c r="C56" s="65">
        <v>1</v>
      </c>
      <c r="D56" s="25">
        <v>300</v>
      </c>
      <c r="E56" s="64">
        <f t="shared" si="16"/>
        <v>300</v>
      </c>
    </row>
    <row r="57" spans="1:35" x14ac:dyDescent="0.3">
      <c r="B57" s="12"/>
      <c r="C57" s="65"/>
      <c r="D57" s="25"/>
      <c r="E57" s="64">
        <f t="shared" si="16"/>
        <v>0</v>
      </c>
    </row>
    <row r="58" spans="1:35" x14ac:dyDescent="0.3">
      <c r="B58" s="13"/>
      <c r="C58" s="65"/>
      <c r="D58" s="25"/>
      <c r="E58" s="64">
        <f t="shared" si="16"/>
        <v>0</v>
      </c>
    </row>
    <row r="59" spans="1:35" x14ac:dyDescent="0.3">
      <c r="B59" s="12"/>
      <c r="C59" s="65"/>
      <c r="D59" s="25"/>
      <c r="E59" s="64">
        <f t="shared" si="16"/>
        <v>0</v>
      </c>
    </row>
    <row r="60" spans="1:35" x14ac:dyDescent="0.3">
      <c r="B60" s="12"/>
      <c r="C60" s="65"/>
      <c r="D60" s="25"/>
      <c r="E60" s="64">
        <f t="shared" si="16"/>
        <v>0</v>
      </c>
    </row>
    <row r="61" spans="1:35" x14ac:dyDescent="0.3">
      <c r="B61" s="12"/>
      <c r="C61" s="65"/>
      <c r="D61" s="25"/>
      <c r="E61" s="64">
        <f t="shared" si="16"/>
        <v>0</v>
      </c>
    </row>
    <row r="62" spans="1:35" x14ac:dyDescent="0.3">
      <c r="B62" s="12"/>
      <c r="C62" s="65"/>
      <c r="D62" s="25"/>
      <c r="E62" s="64">
        <f t="shared" si="16"/>
        <v>0</v>
      </c>
    </row>
    <row r="63" spans="1:35" x14ac:dyDescent="0.3">
      <c r="B63" s="12" t="s">
        <v>53</v>
      </c>
      <c r="C63" s="65">
        <f>3*2*8</f>
        <v>48</v>
      </c>
      <c r="D63" s="25">
        <v>30</v>
      </c>
      <c r="E63" s="64">
        <f t="shared" si="16"/>
        <v>1440</v>
      </c>
    </row>
    <row r="64" spans="1:35" x14ac:dyDescent="0.3">
      <c r="B64" s="13"/>
      <c r="C64" s="66"/>
      <c r="D64" s="67"/>
      <c r="E64" s="64">
        <f>SUM(E51:E63)*D64</f>
        <v>0</v>
      </c>
    </row>
    <row r="65" spans="2:5" x14ac:dyDescent="0.3">
      <c r="B65" s="13" t="s">
        <v>23</v>
      </c>
      <c r="C65" s="66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2710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A20:AD20"/>
    <mergeCell ref="AA36:AC36"/>
    <mergeCell ref="AF20:AI20"/>
    <mergeCell ref="AF36:AH36"/>
    <mergeCell ref="B1:E1"/>
    <mergeCell ref="L20:O20"/>
    <mergeCell ref="L36:N36"/>
    <mergeCell ref="Q20:T20"/>
    <mergeCell ref="Q36:S36"/>
    <mergeCell ref="V20:Y20"/>
    <mergeCell ref="V36:X36"/>
    <mergeCell ref="B51:E51"/>
    <mergeCell ref="B66:D66"/>
    <mergeCell ref="G20:J20"/>
    <mergeCell ref="G36:I36"/>
    <mergeCell ref="C2:E2"/>
    <mergeCell ref="C3:D3"/>
    <mergeCell ref="C4:D4"/>
    <mergeCell ref="C5:D5"/>
    <mergeCell ref="B20:E20"/>
    <mergeCell ref="B36:D36"/>
    <mergeCell ref="B38:E38"/>
    <mergeCell ref="B49:D49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J81"/>
  <sheetViews>
    <sheetView zoomScaleNormal="100" workbookViewId="0">
      <selection activeCell="D11" sqref="D11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Riassunto!D5</f>
        <v>Ca' Emo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+Riassunto!L5</f>
        <v>4583.1000000000004</v>
      </c>
      <c r="D2" s="306"/>
      <c r="E2" s="306"/>
    </row>
    <row r="3" spans="1:36" x14ac:dyDescent="0.3">
      <c r="A3" s="5"/>
      <c r="B3" s="5" t="s">
        <v>17</v>
      </c>
      <c r="C3" s="307">
        <f>Riassunto!I5</f>
        <v>170.3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37.15825532936222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0.89</v>
      </c>
      <c r="D8" s="108">
        <v>0.89</v>
      </c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0.96</v>
      </c>
      <c r="D9" s="108">
        <v>0.96</v>
      </c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0.93100000000000005</v>
      </c>
      <c r="D10" s="108">
        <v>0.93100000000000005</v>
      </c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0.96</v>
      </c>
      <c r="D11" s="108">
        <v>0.96</v>
      </c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0.76362854400000002</v>
      </c>
      <c r="D12" s="110">
        <f>+D8*D9*D10*D11</f>
        <v>0.76362854400000002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/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37.15825532936222</v>
      </c>
      <c r="D17" s="70">
        <v>30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170.3</v>
      </c>
      <c r="D18" s="72">
        <f>+(D17*$C$2/1000)+$C$4</f>
        <v>137.49299999999999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55" t="s">
        <v>171</v>
      </c>
      <c r="C22" s="65"/>
      <c r="D22" s="25">
        <v>500</v>
      </c>
      <c r="E22" s="64">
        <f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 t="shared" ref="AD22:AD33" si="3">+AC22*AB22</f>
        <v>0</v>
      </c>
      <c r="AE22" s="64"/>
      <c r="AF22" s="156" t="s">
        <v>254</v>
      </c>
      <c r="AG22" s="65">
        <v>1</v>
      </c>
      <c r="AH22" s="25">
        <v>10</v>
      </c>
      <c r="AI22" s="64">
        <f>+AH22*AG22</f>
        <v>10</v>
      </c>
      <c r="AJ22" s="64"/>
    </row>
    <row r="23" spans="1:36" x14ac:dyDescent="0.3">
      <c r="B23" s="155" t="s">
        <v>411</v>
      </c>
      <c r="C23" s="65"/>
      <c r="D23" s="25">
        <f>+Riello!AF5</f>
        <v>10900</v>
      </c>
      <c r="E23" s="64">
        <f t="shared" ref="E23:E30" si="4">+D23*C23</f>
        <v>0</v>
      </c>
      <c r="F23" s="64"/>
      <c r="G23" s="76"/>
      <c r="H23" s="65"/>
      <c r="I23" s="25"/>
      <c r="J23" s="64">
        <f t="shared" ref="J23:J32" si="5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6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7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8">+X23*W23</f>
        <v>0</v>
      </c>
      <c r="Z23" s="64"/>
      <c r="AA23" s="12" t="s">
        <v>52</v>
      </c>
      <c r="AB23" s="65">
        <f>SUM(AB9:AD9)</f>
        <v>0</v>
      </c>
      <c r="AC23" s="84">
        <v>120</v>
      </c>
      <c r="AD23" s="64">
        <f t="shared" si="3"/>
        <v>0</v>
      </c>
      <c r="AE23" s="64"/>
      <c r="AF23" s="156" t="s">
        <v>253</v>
      </c>
      <c r="AG23" s="65">
        <v>1</v>
      </c>
      <c r="AH23" s="25">
        <v>100</v>
      </c>
      <c r="AI23" s="64">
        <f t="shared" ref="AI23:AI27" si="9">+AH23*AG23</f>
        <v>100</v>
      </c>
      <c r="AJ23" s="64"/>
    </row>
    <row r="24" spans="1:36" x14ac:dyDescent="0.3">
      <c r="B24" s="155" t="s">
        <v>303</v>
      </c>
      <c r="C24" s="65"/>
      <c r="D24" s="25">
        <v>1200</v>
      </c>
      <c r="E24" s="64">
        <f t="shared" si="4"/>
        <v>0</v>
      </c>
      <c r="F24" s="64"/>
      <c r="G24" s="76"/>
      <c r="H24" s="65"/>
      <c r="I24" s="25"/>
      <c r="J24" s="64">
        <f t="shared" si="5"/>
        <v>0</v>
      </c>
      <c r="K24" s="64"/>
      <c r="L24" s="76"/>
      <c r="M24" s="65"/>
      <c r="N24" s="25"/>
      <c r="O24" s="64">
        <f t="shared" si="6"/>
        <v>0</v>
      </c>
      <c r="P24" s="64"/>
      <c r="Q24" s="76"/>
      <c r="R24" s="65"/>
      <c r="S24" s="25"/>
      <c r="T24" s="64">
        <f t="shared" si="7"/>
        <v>0</v>
      </c>
      <c r="U24" s="64"/>
      <c r="V24" s="76"/>
      <c r="W24" s="65"/>
      <c r="X24" s="25"/>
      <c r="Y24" s="64">
        <f t="shared" si="8"/>
        <v>0</v>
      </c>
      <c r="Z24" s="64"/>
      <c r="AA24" s="76"/>
      <c r="AB24" s="65"/>
      <c r="AC24" s="25"/>
      <c r="AD24" s="64">
        <f t="shared" si="3"/>
        <v>0</v>
      </c>
      <c r="AE24" s="64"/>
      <c r="AF24" s="156" t="s">
        <v>291</v>
      </c>
      <c r="AG24" s="65">
        <v>1</v>
      </c>
      <c r="AH24" s="25">
        <v>100</v>
      </c>
      <c r="AI24" s="64">
        <f t="shared" si="9"/>
        <v>100</v>
      </c>
      <c r="AJ24" s="64"/>
    </row>
    <row r="25" spans="1:36" x14ac:dyDescent="0.3">
      <c r="B25" s="156" t="s">
        <v>391</v>
      </c>
      <c r="C25" s="65"/>
      <c r="D25" s="25">
        <v>1000</v>
      </c>
      <c r="E25" s="64">
        <f t="shared" si="4"/>
        <v>0</v>
      </c>
      <c r="F25" s="64"/>
      <c r="G25" s="76"/>
      <c r="H25" s="65"/>
      <c r="I25" s="25"/>
      <c r="J25" s="64">
        <f t="shared" si="5"/>
        <v>0</v>
      </c>
      <c r="K25" s="64"/>
      <c r="L25" s="76"/>
      <c r="M25" s="65"/>
      <c r="N25" s="25"/>
      <c r="O25" s="64">
        <f t="shared" si="6"/>
        <v>0</v>
      </c>
      <c r="P25" s="64"/>
      <c r="Q25" s="76"/>
      <c r="R25" s="65"/>
      <c r="S25" s="25"/>
      <c r="T25" s="64">
        <f t="shared" si="7"/>
        <v>0</v>
      </c>
      <c r="U25" s="64"/>
      <c r="V25" s="76"/>
      <c r="W25" s="65"/>
      <c r="X25" s="25"/>
      <c r="Y25" s="64">
        <f t="shared" si="8"/>
        <v>0</v>
      </c>
      <c r="Z25" s="64"/>
      <c r="AA25" s="76"/>
      <c r="AB25" s="65"/>
      <c r="AC25" s="25"/>
      <c r="AD25" s="64">
        <f t="shared" si="3"/>
        <v>0</v>
      </c>
      <c r="AE25" s="64"/>
      <c r="AF25" s="156" t="s">
        <v>256</v>
      </c>
      <c r="AG25" s="65">
        <v>1</v>
      </c>
      <c r="AH25" s="25">
        <v>20</v>
      </c>
      <c r="AI25" s="64">
        <f t="shared" si="9"/>
        <v>20</v>
      </c>
      <c r="AJ25" s="64"/>
    </row>
    <row r="26" spans="1:36" x14ac:dyDescent="0.3">
      <c r="B26" s="156" t="s">
        <v>401</v>
      </c>
      <c r="C26" s="65"/>
      <c r="D26" s="25">
        <v>1200</v>
      </c>
      <c r="E26" s="64">
        <f t="shared" si="4"/>
        <v>0</v>
      </c>
      <c r="F26" s="64"/>
      <c r="G26" s="76"/>
      <c r="H26" s="65"/>
      <c r="I26" s="25"/>
      <c r="J26" s="64">
        <f t="shared" si="5"/>
        <v>0</v>
      </c>
      <c r="K26" s="64"/>
      <c r="L26" s="76"/>
      <c r="M26" s="65"/>
      <c r="N26" s="25"/>
      <c r="O26" s="64">
        <f t="shared" si="6"/>
        <v>0</v>
      </c>
      <c r="P26" s="64"/>
      <c r="Q26" s="76"/>
      <c r="R26" s="65"/>
      <c r="S26" s="25"/>
      <c r="T26" s="64">
        <f t="shared" si="7"/>
        <v>0</v>
      </c>
      <c r="U26" s="64"/>
      <c r="V26" s="76"/>
      <c r="W26" s="65"/>
      <c r="X26" s="25"/>
      <c r="Y26" s="64">
        <f t="shared" si="8"/>
        <v>0</v>
      </c>
      <c r="Z26" s="64"/>
      <c r="AA26" s="76"/>
      <c r="AB26" s="65"/>
      <c r="AC26" s="25"/>
      <c r="AD26" s="64">
        <f t="shared" si="3"/>
        <v>0</v>
      </c>
      <c r="AE26" s="64"/>
      <c r="AF26" s="156"/>
      <c r="AG26" s="65"/>
      <c r="AH26" s="25"/>
      <c r="AI26" s="64">
        <f t="shared" si="9"/>
        <v>0</v>
      </c>
      <c r="AJ26" s="64"/>
    </row>
    <row r="27" spans="1:36" x14ac:dyDescent="0.3">
      <c r="B27" s="156" t="s">
        <v>403</v>
      </c>
      <c r="C27" s="65"/>
      <c r="D27" s="25">
        <v>1000</v>
      </c>
      <c r="E27" s="64">
        <f t="shared" si="4"/>
        <v>0</v>
      </c>
      <c r="F27" s="64"/>
      <c r="G27" s="76"/>
      <c r="H27" s="65"/>
      <c r="I27" s="25"/>
      <c r="J27" s="64">
        <f t="shared" si="5"/>
        <v>0</v>
      </c>
      <c r="K27" s="64"/>
      <c r="L27" s="76"/>
      <c r="M27" s="65"/>
      <c r="N27" s="25"/>
      <c r="O27" s="64">
        <f t="shared" si="6"/>
        <v>0</v>
      </c>
      <c r="P27" s="64"/>
      <c r="Q27" s="76"/>
      <c r="R27" s="65"/>
      <c r="S27" s="25"/>
      <c r="T27" s="64">
        <f t="shared" si="7"/>
        <v>0</v>
      </c>
      <c r="U27" s="64"/>
      <c r="V27" s="76"/>
      <c r="W27" s="65"/>
      <c r="X27" s="25"/>
      <c r="Y27" s="64">
        <f t="shared" si="8"/>
        <v>0</v>
      </c>
      <c r="Z27" s="64"/>
      <c r="AA27" s="76"/>
      <c r="AB27" s="65"/>
      <c r="AC27" s="25"/>
      <c r="AD27" s="64">
        <f t="shared" si="3"/>
        <v>0</v>
      </c>
      <c r="AE27" s="64"/>
      <c r="AF27" s="156"/>
      <c r="AG27" s="65"/>
      <c r="AH27" s="25"/>
      <c r="AI27" s="64">
        <f t="shared" si="9"/>
        <v>0</v>
      </c>
      <c r="AJ27" s="64"/>
    </row>
    <row r="28" spans="1:36" x14ac:dyDescent="0.3">
      <c r="B28" s="156" t="s">
        <v>328</v>
      </c>
      <c r="C28" s="65"/>
      <c r="D28" s="25">
        <v>500</v>
      </c>
      <c r="E28" s="64">
        <f t="shared" si="4"/>
        <v>0</v>
      </c>
      <c r="F28" s="64"/>
      <c r="G28" s="76"/>
      <c r="H28" s="65"/>
      <c r="I28" s="25"/>
      <c r="J28" s="64">
        <f t="shared" si="5"/>
        <v>0</v>
      </c>
      <c r="K28" s="64"/>
      <c r="L28" s="76"/>
      <c r="M28" s="65"/>
      <c r="N28" s="25"/>
      <c r="O28" s="64">
        <f t="shared" si="6"/>
        <v>0</v>
      </c>
      <c r="P28" s="64"/>
      <c r="Q28" s="76"/>
      <c r="R28" s="65"/>
      <c r="S28" s="25"/>
      <c r="T28" s="64">
        <f t="shared" si="7"/>
        <v>0</v>
      </c>
      <c r="U28" s="64"/>
      <c r="V28" s="76"/>
      <c r="W28" s="65"/>
      <c r="X28" s="25"/>
      <c r="Y28" s="64">
        <f t="shared" si="8"/>
        <v>0</v>
      </c>
      <c r="Z28" s="64"/>
      <c r="AA28" s="76"/>
      <c r="AB28" s="65"/>
      <c r="AC28" s="25"/>
      <c r="AD28" s="64">
        <f t="shared" si="3"/>
        <v>0</v>
      </c>
      <c r="AE28" s="64"/>
      <c r="AF28" s="76"/>
      <c r="AG28" s="65"/>
      <c r="AH28" s="25"/>
      <c r="AI28" s="64">
        <f t="shared" ref="AI28:AI32" si="10">+AH28*AG28</f>
        <v>0</v>
      </c>
      <c r="AJ28" s="64"/>
    </row>
    <row r="29" spans="1:36" x14ac:dyDescent="0.3">
      <c r="B29" s="156" t="s">
        <v>415</v>
      </c>
      <c r="C29" s="65"/>
      <c r="D29" s="25">
        <v>500</v>
      </c>
      <c r="E29" s="64">
        <f t="shared" si="4"/>
        <v>0</v>
      </c>
      <c r="F29" s="64"/>
      <c r="G29" s="76"/>
      <c r="H29" s="65"/>
      <c r="I29" s="25"/>
      <c r="J29" s="64">
        <f t="shared" si="5"/>
        <v>0</v>
      </c>
      <c r="K29" s="64"/>
      <c r="L29" s="76"/>
      <c r="M29" s="65"/>
      <c r="N29" s="25"/>
      <c r="O29" s="64">
        <f t="shared" si="6"/>
        <v>0</v>
      </c>
      <c r="P29" s="64"/>
      <c r="Q29" s="76"/>
      <c r="R29" s="65"/>
      <c r="S29" s="25"/>
      <c r="T29" s="64">
        <f t="shared" si="7"/>
        <v>0</v>
      </c>
      <c r="U29" s="64"/>
      <c r="V29" s="76"/>
      <c r="W29" s="65"/>
      <c r="X29" s="25"/>
      <c r="Y29" s="64">
        <f t="shared" si="8"/>
        <v>0</v>
      </c>
      <c r="Z29" s="64"/>
      <c r="AA29" s="76"/>
      <c r="AB29" s="65"/>
      <c r="AC29" s="25"/>
      <c r="AD29" s="64">
        <f t="shared" si="3"/>
        <v>0</v>
      </c>
      <c r="AE29" s="64"/>
      <c r="AF29" s="76"/>
      <c r="AG29" s="65"/>
      <c r="AH29" s="25"/>
      <c r="AI29" s="64">
        <f t="shared" si="10"/>
        <v>0</v>
      </c>
      <c r="AJ29" s="64"/>
    </row>
    <row r="30" spans="1:36" x14ac:dyDescent="0.3">
      <c r="B30" s="156" t="s">
        <v>454</v>
      </c>
      <c r="C30" s="65"/>
      <c r="D30" s="25">
        <f>'Contatori di energia'!E11</f>
        <v>1500</v>
      </c>
      <c r="E30" s="64">
        <f t="shared" si="4"/>
        <v>0</v>
      </c>
      <c r="G30" s="76"/>
      <c r="H30" s="65"/>
      <c r="J30" s="64">
        <f t="shared" si="5"/>
        <v>0</v>
      </c>
      <c r="L30" s="76"/>
      <c r="M30" s="65"/>
      <c r="N30" s="25"/>
      <c r="O30" s="64">
        <f t="shared" si="6"/>
        <v>0</v>
      </c>
      <c r="Q30" s="76"/>
      <c r="R30" s="65"/>
      <c r="S30" s="25"/>
      <c r="T30" s="64">
        <f t="shared" si="7"/>
        <v>0</v>
      </c>
      <c r="V30" s="76"/>
      <c r="W30" s="65"/>
      <c r="X30" s="25"/>
      <c r="Y30" s="64">
        <f t="shared" si="8"/>
        <v>0</v>
      </c>
      <c r="AA30" s="76"/>
      <c r="AB30" s="65"/>
      <c r="AC30" s="25"/>
      <c r="AD30" s="64">
        <f t="shared" si="3"/>
        <v>0</v>
      </c>
      <c r="AF30" s="76"/>
      <c r="AG30" s="65"/>
      <c r="AH30" s="25"/>
      <c r="AI30" s="64">
        <f t="shared" si="10"/>
        <v>0</v>
      </c>
    </row>
    <row r="31" spans="1:36" x14ac:dyDescent="0.3">
      <c r="B31" s="117"/>
      <c r="C31" s="65"/>
      <c r="E31" s="64">
        <f t="shared" ref="E31:E33" si="11">+D31*C31</f>
        <v>0</v>
      </c>
      <c r="G31" s="76"/>
      <c r="H31" s="65"/>
      <c r="J31" s="64">
        <f t="shared" si="5"/>
        <v>0</v>
      </c>
      <c r="L31" s="76"/>
      <c r="M31" s="65"/>
      <c r="N31" s="25"/>
      <c r="O31" s="64">
        <f t="shared" si="6"/>
        <v>0</v>
      </c>
      <c r="Q31" s="76"/>
      <c r="R31" s="65"/>
      <c r="S31" s="25"/>
      <c r="T31" s="64">
        <f t="shared" si="7"/>
        <v>0</v>
      </c>
      <c r="V31" s="76"/>
      <c r="W31" s="65"/>
      <c r="X31" s="25"/>
      <c r="Y31" s="64">
        <f t="shared" si="8"/>
        <v>0</v>
      </c>
      <c r="AA31" s="76"/>
      <c r="AB31" s="65"/>
      <c r="AC31" s="25"/>
      <c r="AD31" s="64">
        <f t="shared" si="3"/>
        <v>0</v>
      </c>
      <c r="AF31" s="76"/>
      <c r="AG31" s="65"/>
      <c r="AH31" s="25"/>
      <c r="AI31" s="64">
        <f t="shared" si="10"/>
        <v>0</v>
      </c>
    </row>
    <row r="32" spans="1:36" x14ac:dyDescent="0.3">
      <c r="B32" s="116"/>
      <c r="C32" s="65"/>
      <c r="E32" s="64">
        <f t="shared" si="11"/>
        <v>0</v>
      </c>
      <c r="G32" s="76"/>
      <c r="H32" s="65"/>
      <c r="J32" s="64">
        <f t="shared" si="5"/>
        <v>0</v>
      </c>
      <c r="L32" s="76"/>
      <c r="M32" s="65"/>
      <c r="N32" s="25"/>
      <c r="O32" s="64">
        <f t="shared" si="6"/>
        <v>0</v>
      </c>
      <c r="Q32" s="76"/>
      <c r="R32" s="65"/>
      <c r="S32" s="25"/>
      <c r="T32" s="64">
        <f t="shared" si="7"/>
        <v>0</v>
      </c>
      <c r="V32" s="76"/>
      <c r="W32" s="65"/>
      <c r="X32" s="25"/>
      <c r="Y32" s="64">
        <f t="shared" si="8"/>
        <v>0</v>
      </c>
      <c r="AA32" s="76"/>
      <c r="AB32" s="65"/>
      <c r="AC32" s="25"/>
      <c r="AD32" s="64">
        <f t="shared" si="3"/>
        <v>0</v>
      </c>
      <c r="AF32" s="76"/>
      <c r="AG32" s="65"/>
      <c r="AH32" s="25"/>
      <c r="AI32" s="64">
        <f t="shared" si="10"/>
        <v>0</v>
      </c>
    </row>
    <row r="33" spans="1:36" x14ac:dyDescent="0.3">
      <c r="B33" s="12" t="s">
        <v>53</v>
      </c>
      <c r="C33" s="65"/>
      <c r="D33" s="25">
        <v>30</v>
      </c>
      <c r="E33" s="64">
        <f t="shared" si="11"/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 t="shared" si="3"/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5"/>
      <c r="D34" s="67"/>
      <c r="E34" s="64">
        <f>SUM(E22:E33)*D34</f>
        <v>0</v>
      </c>
      <c r="F34" s="64"/>
      <c r="G34" s="13" t="s">
        <v>90</v>
      </c>
      <c r="H34" s="65">
        <v>1</v>
      </c>
      <c r="I34" s="67">
        <v>0.05</v>
      </c>
      <c r="J34" s="64">
        <f>SUM(J22:J33)*I34</f>
        <v>0</v>
      </c>
      <c r="K34" s="64"/>
      <c r="L34" s="13" t="s">
        <v>90</v>
      </c>
      <c r="M34" s="65">
        <v>1</v>
      </c>
      <c r="N34" s="67">
        <v>0.05</v>
      </c>
      <c r="O34" s="64">
        <f>SUM(O22:O33)*N34</f>
        <v>0</v>
      </c>
      <c r="P34" s="64"/>
      <c r="Q34" s="13" t="s">
        <v>90</v>
      </c>
      <c r="R34" s="65">
        <v>1</v>
      </c>
      <c r="S34" s="67">
        <v>0.05</v>
      </c>
      <c r="T34" s="64">
        <f>SUM(T22:T33)*S34</f>
        <v>0</v>
      </c>
      <c r="U34" s="64"/>
      <c r="V34" s="13" t="s">
        <v>90</v>
      </c>
      <c r="W34" s="65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5">
        <v>1</v>
      </c>
      <c r="AC34" s="67">
        <v>0.05</v>
      </c>
      <c r="AD34" s="64">
        <f>SUM(AD22:AD33)*AC34</f>
        <v>0</v>
      </c>
      <c r="AE34" s="64"/>
      <c r="AF34" s="13"/>
      <c r="AG34" s="65"/>
      <c r="AH34" s="67"/>
      <c r="AI34" s="64">
        <f>SUM(AI22:AI33)*AH34</f>
        <v>0</v>
      </c>
      <c r="AJ34" s="64"/>
    </row>
    <row r="35" spans="1:36" x14ac:dyDescent="0.3">
      <c r="B35" s="13" t="s">
        <v>23</v>
      </c>
      <c r="C35" s="65"/>
      <c r="D35" s="25">
        <v>200</v>
      </c>
      <c r="E35" s="64">
        <f>+D35*C35</f>
        <v>0</v>
      </c>
      <c r="F35" s="64"/>
      <c r="G35" s="13" t="s">
        <v>23</v>
      </c>
      <c r="H35" s="65">
        <v>1</v>
      </c>
      <c r="I35" s="25">
        <v>0</v>
      </c>
      <c r="J35" s="64">
        <f>+I35*H35</f>
        <v>0</v>
      </c>
      <c r="K35" s="64"/>
      <c r="L35" s="13" t="s">
        <v>23</v>
      </c>
      <c r="M35" s="65">
        <v>1</v>
      </c>
      <c r="N35" s="25">
        <v>0</v>
      </c>
      <c r="O35" s="64">
        <f>+N35*M35</f>
        <v>0</v>
      </c>
      <c r="P35" s="64"/>
      <c r="Q35" s="13" t="s">
        <v>23</v>
      </c>
      <c r="R35" s="65">
        <v>1</v>
      </c>
      <c r="S35" s="25">
        <v>0</v>
      </c>
      <c r="T35" s="64">
        <f>+S35*R35</f>
        <v>0</v>
      </c>
      <c r="U35" s="64"/>
      <c r="V35" s="13" t="s">
        <v>23</v>
      </c>
      <c r="W35" s="65">
        <v>1</v>
      </c>
      <c r="X35" s="25">
        <v>0</v>
      </c>
      <c r="Y35" s="64">
        <f>+X35*W35</f>
        <v>0</v>
      </c>
      <c r="Z35" s="64"/>
      <c r="AA35" s="13" t="s">
        <v>23</v>
      </c>
      <c r="AB35" s="65">
        <v>1</v>
      </c>
      <c r="AC35" s="25">
        <v>0</v>
      </c>
      <c r="AD35" s="64">
        <f>+AC35*AB35</f>
        <v>0</v>
      </c>
      <c r="AE35" s="64"/>
      <c r="AF35" s="13" t="s">
        <v>23</v>
      </c>
      <c r="AG35" s="65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230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2">+D40*C40</f>
        <v>0</v>
      </c>
    </row>
    <row r="41" spans="1:36" x14ac:dyDescent="0.3">
      <c r="A41" s="24"/>
      <c r="B41" s="76"/>
      <c r="C41" s="65"/>
      <c r="D41" s="25"/>
      <c r="E41" s="64">
        <f t="shared" si="12"/>
        <v>0</v>
      </c>
    </row>
    <row r="42" spans="1:36" x14ac:dyDescent="0.3">
      <c r="A42" s="24"/>
      <c r="B42" s="76"/>
      <c r="C42" s="65"/>
      <c r="D42" s="25"/>
      <c r="E42" s="64">
        <f t="shared" si="12"/>
        <v>0</v>
      </c>
    </row>
    <row r="43" spans="1:36" x14ac:dyDescent="0.3">
      <c r="A43" s="24"/>
      <c r="B43" s="76"/>
      <c r="C43" s="65"/>
      <c r="D43" s="25"/>
      <c r="E43" s="64">
        <f t="shared" si="12"/>
        <v>0</v>
      </c>
    </row>
    <row r="44" spans="1:36" x14ac:dyDescent="0.3">
      <c r="B44" s="76"/>
      <c r="C44" s="65"/>
      <c r="D44" s="25"/>
      <c r="E44" s="64">
        <f t="shared" si="12"/>
        <v>0</v>
      </c>
    </row>
    <row r="45" spans="1:36" x14ac:dyDescent="0.3">
      <c r="B45" s="76"/>
      <c r="C45" s="65"/>
      <c r="D45" s="25"/>
      <c r="E45" s="64">
        <f t="shared" si="12"/>
        <v>0</v>
      </c>
    </row>
    <row r="46" spans="1:36" x14ac:dyDescent="0.3">
      <c r="B46" s="12"/>
      <c r="C46" s="65"/>
      <c r="D46" s="25"/>
      <c r="E46" s="64">
        <f t="shared" si="12"/>
        <v>0</v>
      </c>
    </row>
    <row r="47" spans="1:36" x14ac:dyDescent="0.3">
      <c r="B47" s="13"/>
      <c r="C47" s="65"/>
      <c r="D47" s="67"/>
      <c r="E47" s="64">
        <f>SUM(E38:E46)*D47</f>
        <v>0</v>
      </c>
    </row>
    <row r="48" spans="1:36" x14ac:dyDescent="0.3">
      <c r="B48" s="13" t="s">
        <v>23</v>
      </c>
      <c r="C48" s="65"/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55" t="s">
        <v>201</v>
      </c>
      <c r="C53" s="65"/>
      <c r="D53" s="25">
        <f>VLOOKUP(B53,Coster!$B$5:$D$43,3,FALSE)</f>
        <v>370</v>
      </c>
      <c r="E53" s="64">
        <f t="shared" ref="E53:E63" si="13">+D53*C53</f>
        <v>0</v>
      </c>
    </row>
    <row r="54" spans="1:35" x14ac:dyDescent="0.3">
      <c r="B54" s="155" t="s">
        <v>206</v>
      </c>
      <c r="C54" s="65"/>
      <c r="D54" s="25">
        <f>VLOOKUP(B54,Coster!$B$5:$D$43,3,FALSE)</f>
        <v>390</v>
      </c>
      <c r="E54" s="64">
        <f t="shared" si="13"/>
        <v>0</v>
      </c>
    </row>
    <row r="55" spans="1:35" x14ac:dyDescent="0.3">
      <c r="B55" s="156" t="s">
        <v>203</v>
      </c>
      <c r="C55" s="65"/>
      <c r="D55" s="25">
        <f>VLOOKUP(B55,Coster!$B$5:$D$43,3,FALSE)</f>
        <v>30</v>
      </c>
      <c r="E55" s="64">
        <f t="shared" si="13"/>
        <v>0</v>
      </c>
    </row>
    <row r="56" spans="1:35" x14ac:dyDescent="0.3">
      <c r="B56" s="155" t="s">
        <v>204</v>
      </c>
      <c r="C56" s="65"/>
      <c r="D56" s="25">
        <f>VLOOKUP(B56,Coster!$B$5:$D$43,3,FALSE)</f>
        <v>40</v>
      </c>
      <c r="E56" s="64">
        <f t="shared" si="13"/>
        <v>0</v>
      </c>
    </row>
    <row r="57" spans="1:35" x14ac:dyDescent="0.3">
      <c r="B57" s="12" t="s">
        <v>330</v>
      </c>
      <c r="C57" s="65"/>
      <c r="D57" s="25">
        <v>100</v>
      </c>
      <c r="E57" s="64">
        <f t="shared" si="13"/>
        <v>0</v>
      </c>
    </row>
    <row r="58" spans="1:35" x14ac:dyDescent="0.3">
      <c r="B58" s="13"/>
      <c r="C58" s="65"/>
      <c r="D58" s="25"/>
      <c r="E58" s="64">
        <f t="shared" si="13"/>
        <v>0</v>
      </c>
    </row>
    <row r="59" spans="1:35" x14ac:dyDescent="0.3">
      <c r="B59" s="12"/>
      <c r="C59" s="65"/>
      <c r="D59" s="25"/>
      <c r="E59" s="64">
        <f t="shared" si="13"/>
        <v>0</v>
      </c>
    </row>
    <row r="60" spans="1:35" x14ac:dyDescent="0.3">
      <c r="B60" s="12"/>
      <c r="C60" s="65"/>
      <c r="D60" s="25"/>
      <c r="E60" s="64">
        <f t="shared" si="13"/>
        <v>0</v>
      </c>
    </row>
    <row r="61" spans="1:35" x14ac:dyDescent="0.3">
      <c r="B61" s="12"/>
      <c r="C61" s="65"/>
      <c r="D61" s="25"/>
      <c r="E61" s="64">
        <f t="shared" si="13"/>
        <v>0</v>
      </c>
    </row>
    <row r="62" spans="1:35" x14ac:dyDescent="0.3">
      <c r="B62" s="12"/>
      <c r="C62" s="65"/>
      <c r="D62" s="25"/>
      <c r="E62" s="64">
        <f t="shared" si="13"/>
        <v>0</v>
      </c>
    </row>
    <row r="63" spans="1:35" x14ac:dyDescent="0.3">
      <c r="B63" s="12" t="s">
        <v>53</v>
      </c>
      <c r="C63" s="65"/>
      <c r="D63" s="25">
        <v>30</v>
      </c>
      <c r="E63" s="64">
        <f t="shared" si="13"/>
        <v>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5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J81"/>
  <sheetViews>
    <sheetView zoomScaleNormal="100" workbookViewId="0">
      <selection activeCell="C14" sqref="C14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Riassunto!D6</f>
        <v>S. Paolo Museo - Ex Chiesa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+Riassunto!L6</f>
        <v>2832.05</v>
      </c>
      <c r="D2" s="306"/>
      <c r="E2" s="306"/>
    </row>
    <row r="3" spans="1:36" x14ac:dyDescent="0.3">
      <c r="A3" s="5"/>
      <c r="B3" s="5" t="s">
        <v>17</v>
      </c>
      <c r="C3" s="307">
        <f>Riassunto!I6</f>
        <v>28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9.8868310940837905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0.02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0.02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9.6890944722021146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27.44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87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/>
      <c r="C22" s="65"/>
      <c r="D22" s="25"/>
      <c r="E22" s="64">
        <f t="shared" ref="E22:E33" si="3"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/>
      <c r="AH22" s="84"/>
      <c r="AI22" s="64">
        <f>+AH22*AG22</f>
        <v>0</v>
      </c>
      <c r="AJ22" s="64"/>
    </row>
    <row r="23" spans="1:36" x14ac:dyDescent="0.3">
      <c r="B23" s="12"/>
      <c r="C23" s="65"/>
      <c r="D23" s="25"/>
      <c r="E23" s="64">
        <f t="shared" si="3"/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/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12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12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2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12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12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D30" s="25"/>
      <c r="E30" s="64">
        <f t="shared" si="3"/>
        <v>0</v>
      </c>
      <c r="G30" s="76"/>
      <c r="H30" s="65"/>
      <c r="J30" s="64">
        <f t="shared" si="4"/>
        <v>0</v>
      </c>
      <c r="L30" s="76"/>
      <c r="M30" s="65"/>
      <c r="N30" s="25"/>
      <c r="O30" s="64">
        <f t="shared" si="5"/>
        <v>0</v>
      </c>
      <c r="Q30" s="76"/>
      <c r="R30" s="65"/>
      <c r="S30" s="25"/>
      <c r="T30" s="64">
        <f t="shared" si="6"/>
        <v>0</v>
      </c>
      <c r="V30" s="76"/>
      <c r="W30" s="65"/>
      <c r="X30" s="25"/>
      <c r="Y30" s="64">
        <f t="shared" si="7"/>
        <v>0</v>
      </c>
      <c r="AA30" s="76"/>
      <c r="AB30" s="65"/>
      <c r="AC30" s="25"/>
      <c r="AD30" s="64">
        <f t="shared" si="8"/>
        <v>0</v>
      </c>
      <c r="AF30" s="76"/>
      <c r="AG30" s="65"/>
      <c r="AH30" s="25"/>
      <c r="AI30" s="64">
        <f t="shared" si="9"/>
        <v>0</v>
      </c>
    </row>
    <row r="31" spans="1:36" x14ac:dyDescent="0.3">
      <c r="B31" s="118"/>
      <c r="C31" s="65"/>
      <c r="D31" s="2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C32"/>
      <c r="D32" s="25"/>
      <c r="E32" s="64">
        <f t="shared" si="3"/>
        <v>0</v>
      </c>
      <c r="G32" s="76"/>
      <c r="H32" s="65"/>
      <c r="J32" s="64">
        <f t="shared" si="4"/>
        <v>0</v>
      </c>
      <c r="L32" s="76"/>
      <c r="M32" s="65"/>
      <c r="N32" s="25"/>
      <c r="O32" s="64">
        <f t="shared" si="5"/>
        <v>0</v>
      </c>
      <c r="Q32" s="76"/>
      <c r="R32" s="65"/>
      <c r="S32" s="25"/>
      <c r="T32" s="64">
        <f t="shared" si="6"/>
        <v>0</v>
      </c>
      <c r="V32" s="76"/>
      <c r="W32" s="65"/>
      <c r="X32" s="25"/>
      <c r="Y32" s="64">
        <f t="shared" si="7"/>
        <v>0</v>
      </c>
      <c r="AA32" s="76"/>
      <c r="AB32" s="65"/>
      <c r="AC32" s="25"/>
      <c r="AD32" s="64">
        <f t="shared" si="8"/>
        <v>0</v>
      </c>
      <c r="AF32" s="76"/>
      <c r="AG32" s="65"/>
      <c r="AH32" s="25"/>
      <c r="AI32" s="64">
        <f t="shared" si="9"/>
        <v>0</v>
      </c>
    </row>
    <row r="33" spans="1:36" x14ac:dyDescent="0.3">
      <c r="B33" s="12"/>
      <c r="C33" s="65"/>
      <c r="D33" s="25"/>
      <c r="E33" s="64">
        <f t="shared" si="3"/>
        <v>0</v>
      </c>
      <c r="F33" s="64"/>
      <c r="G33" s="12" t="s">
        <v>53</v>
      </c>
      <c r="H33" s="65">
        <v>0</v>
      </c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5"/>
      <c r="D34" s="67"/>
      <c r="E34" s="64">
        <f>SUM(E22:E33)*D34</f>
        <v>0</v>
      </c>
      <c r="F34" s="64"/>
      <c r="G34" s="13" t="s">
        <v>90</v>
      </c>
      <c r="H34" s="65">
        <v>1</v>
      </c>
      <c r="I34" s="67">
        <v>0.05</v>
      </c>
      <c r="J34" s="64">
        <f>SUM(J22:J33)*I34</f>
        <v>0</v>
      </c>
      <c r="K34" s="64"/>
      <c r="L34" s="13" t="s">
        <v>90</v>
      </c>
      <c r="M34" s="65">
        <v>1</v>
      </c>
      <c r="N34" s="67">
        <v>0.05</v>
      </c>
      <c r="O34" s="64">
        <f>SUM(O22:O33)*N34</f>
        <v>0</v>
      </c>
      <c r="P34" s="64"/>
      <c r="Q34" s="13" t="s">
        <v>90</v>
      </c>
      <c r="R34" s="65">
        <v>1</v>
      </c>
      <c r="S34" s="67">
        <v>0.05</v>
      </c>
      <c r="T34" s="64">
        <f>SUM(T22:T33)*S34</f>
        <v>0</v>
      </c>
      <c r="U34" s="64"/>
      <c r="V34" s="13" t="s">
        <v>90</v>
      </c>
      <c r="W34" s="65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5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5">
        <v>1</v>
      </c>
      <c r="AH34" s="67">
        <v>0.05</v>
      </c>
      <c r="AI34" s="64">
        <f>SUM(AI22:AI33)*AH34</f>
        <v>0</v>
      </c>
      <c r="AJ34" s="64"/>
    </row>
    <row r="35" spans="1:36" x14ac:dyDescent="0.3">
      <c r="B35" s="13" t="s">
        <v>23</v>
      </c>
      <c r="C35" s="65"/>
      <c r="D35" s="25"/>
      <c r="E35" s="64">
        <f>+D35*C35</f>
        <v>0</v>
      </c>
      <c r="F35" s="64"/>
      <c r="G35" s="13" t="s">
        <v>23</v>
      </c>
      <c r="H35" s="65">
        <v>1</v>
      </c>
      <c r="I35" s="25">
        <v>0</v>
      </c>
      <c r="J35" s="64">
        <f>+I35*H35</f>
        <v>0</v>
      </c>
      <c r="K35" s="64"/>
      <c r="L35" s="13" t="s">
        <v>23</v>
      </c>
      <c r="M35" s="65">
        <v>1</v>
      </c>
      <c r="N35" s="25">
        <v>0</v>
      </c>
      <c r="O35" s="64">
        <f>+N35*M35</f>
        <v>0</v>
      </c>
      <c r="P35" s="64"/>
      <c r="Q35" s="13" t="s">
        <v>23</v>
      </c>
      <c r="R35" s="65">
        <v>1</v>
      </c>
      <c r="S35" s="25">
        <v>0</v>
      </c>
      <c r="T35" s="64">
        <f>+S35*R35</f>
        <v>0</v>
      </c>
      <c r="U35" s="64"/>
      <c r="V35" s="13" t="s">
        <v>23</v>
      </c>
      <c r="W35" s="65">
        <v>1</v>
      </c>
      <c r="X35" s="25">
        <v>0</v>
      </c>
      <c r="Y35" s="64">
        <f>+X35*W35</f>
        <v>0</v>
      </c>
      <c r="Z35" s="64"/>
      <c r="AA35" s="13" t="s">
        <v>23</v>
      </c>
      <c r="AB35" s="65">
        <v>1</v>
      </c>
      <c r="AC35" s="25">
        <v>0</v>
      </c>
      <c r="AD35" s="64">
        <f>+AC35*AB35</f>
        <v>0</v>
      </c>
      <c r="AE35" s="64"/>
      <c r="AF35" s="13" t="s">
        <v>23</v>
      </c>
      <c r="AG35" s="65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12"/>
      <c r="C40" s="65"/>
      <c r="D40" s="25"/>
      <c r="E40" s="64">
        <f t="shared" ref="E40:E46" si="10">+D40*C40</f>
        <v>0</v>
      </c>
    </row>
    <row r="41" spans="1:36" x14ac:dyDescent="0.3">
      <c r="A41" s="24"/>
      <c r="B41" s="12"/>
      <c r="C41" s="65"/>
      <c r="D41" s="25"/>
      <c r="E41" s="64">
        <f t="shared" si="10"/>
        <v>0</v>
      </c>
      <c r="G41" s="65"/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</row>
    <row r="44" spans="1:36" x14ac:dyDescent="0.3">
      <c r="B44" s="76"/>
      <c r="C44" s="65"/>
      <c r="D44" s="25"/>
      <c r="E44" s="64">
        <f t="shared" si="10"/>
        <v>0</v>
      </c>
    </row>
    <row r="45" spans="1:36" x14ac:dyDescent="0.3">
      <c r="B45" s="76"/>
      <c r="C45" s="65"/>
      <c r="D45" s="25"/>
      <c r="E45" s="64">
        <f t="shared" si="10"/>
        <v>0</v>
      </c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</row>
    <row r="47" spans="1:36" x14ac:dyDescent="0.3">
      <c r="B47" s="13"/>
      <c r="C47" s="65"/>
      <c r="D47" s="67"/>
      <c r="E47" s="64">
        <f>SUM(E38:E46)*D47</f>
        <v>0</v>
      </c>
    </row>
    <row r="48" spans="1:36" x14ac:dyDescent="0.3">
      <c r="B48" s="13" t="s">
        <v>23</v>
      </c>
      <c r="C48" s="65"/>
      <c r="D48" s="25">
        <v>0</v>
      </c>
      <c r="E48" s="64">
        <f>+D48*C48</f>
        <v>0</v>
      </c>
    </row>
    <row r="49" spans="1:35" x14ac:dyDescent="0.3">
      <c r="B49" s="304" t="s">
        <v>22</v>
      </c>
      <c r="C49" s="304"/>
      <c r="D49" s="304"/>
      <c r="E49" s="26">
        <f>SUM(E38:E48)</f>
        <v>0</v>
      </c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H50" s="8"/>
      <c r="AI50" s="10"/>
    </row>
    <row r="51" spans="1:35" x14ac:dyDescent="0.3">
      <c r="B51" s="303" t="s">
        <v>12</v>
      </c>
      <c r="C51" s="303"/>
      <c r="D51" s="303"/>
      <c r="E51" s="303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</row>
    <row r="53" spans="1:35" x14ac:dyDescent="0.3">
      <c r="A53" s="24"/>
      <c r="B53" s="12" t="s">
        <v>213</v>
      </c>
      <c r="C53" s="65">
        <v>1</v>
      </c>
      <c r="D53" s="25">
        <f>VLOOKUP(B53,Coster!$B$5:$D$43,3,FALSE)</f>
        <v>480</v>
      </c>
      <c r="E53" s="64">
        <f t="shared" ref="E53:E63" si="11">+D53*C53</f>
        <v>480</v>
      </c>
    </row>
    <row r="54" spans="1:35" x14ac:dyDescent="0.3">
      <c r="B54" s="12" t="s">
        <v>203</v>
      </c>
      <c r="C54" s="65">
        <v>1</v>
      </c>
      <c r="D54" s="25">
        <f>VLOOKUP(B54,Coster!$B$5:$D$43,3,FALSE)</f>
        <v>30</v>
      </c>
      <c r="E54" s="64">
        <f t="shared" si="11"/>
        <v>30</v>
      </c>
    </row>
    <row r="55" spans="1:35" x14ac:dyDescent="0.3">
      <c r="B55" s="76" t="s">
        <v>202</v>
      </c>
      <c r="C55" s="65">
        <v>1</v>
      </c>
      <c r="D55" s="25">
        <f>VLOOKUP(B55,Coster!$B$5:$D$43,3,FALSE)</f>
        <v>30</v>
      </c>
      <c r="E55" s="64">
        <f t="shared" si="11"/>
        <v>30</v>
      </c>
    </row>
    <row r="56" spans="1:35" x14ac:dyDescent="0.3">
      <c r="B56" s="12"/>
      <c r="C56" s="65"/>
      <c r="D56" s="25"/>
      <c r="E56" s="64">
        <f t="shared" si="11"/>
        <v>0</v>
      </c>
    </row>
    <row r="57" spans="1:35" x14ac:dyDescent="0.3">
      <c r="B57" s="12"/>
      <c r="C57" s="65"/>
      <c r="D57" s="25"/>
      <c r="E57" s="64">
        <f t="shared" si="11"/>
        <v>0</v>
      </c>
    </row>
    <row r="58" spans="1:35" x14ac:dyDescent="0.3">
      <c r="B58" s="13"/>
      <c r="C58" s="65"/>
      <c r="D58" s="25"/>
      <c r="E58" s="64">
        <f t="shared" si="11"/>
        <v>0</v>
      </c>
    </row>
    <row r="59" spans="1:35" x14ac:dyDescent="0.3">
      <c r="B59" s="12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12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>
        <v>8</v>
      </c>
      <c r="D63" s="25">
        <v>30</v>
      </c>
      <c r="E63" s="64">
        <f t="shared" si="11"/>
        <v>240</v>
      </c>
    </row>
    <row r="64" spans="1:35" x14ac:dyDescent="0.3">
      <c r="B64" s="13"/>
      <c r="C64" s="66"/>
      <c r="D64" s="67"/>
      <c r="E64" s="64">
        <f>SUM(E51:E63)*D64</f>
        <v>0</v>
      </c>
    </row>
    <row r="65" spans="2:5" x14ac:dyDescent="0.3">
      <c r="B65" s="13" t="s">
        <v>23</v>
      </c>
      <c r="C65" s="66">
        <v>1</v>
      </c>
      <c r="D65" s="25"/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780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AJ81"/>
  <sheetViews>
    <sheetView zoomScaleNormal="100" workbookViewId="0">
      <selection activeCell="C14" sqref="C14"/>
    </sheetView>
  </sheetViews>
  <sheetFormatPr defaultRowHeight="14.4" outlineLevelCol="1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hidden="1" customWidth="1" outlineLevel="1"/>
    <col min="8" max="10" width="12.6640625" hidden="1" customWidth="1" outlineLevel="1"/>
    <col min="11" max="11" width="1.6640625" hidden="1" customWidth="1" outlineLevel="1"/>
    <col min="12" max="12" width="45.6640625" hidden="1" customWidth="1" outlineLevel="1"/>
    <col min="13" max="15" width="12.6640625" hidden="1" customWidth="1" outlineLevel="1"/>
    <col min="16" max="16" width="1.6640625" hidden="1" customWidth="1" outlineLevel="1"/>
    <col min="17" max="17" width="45.6640625" hidden="1" customWidth="1" outlineLevel="1"/>
    <col min="18" max="20" width="12.6640625" hidden="1" customWidth="1" outlineLevel="1"/>
    <col min="21" max="21" width="1.6640625" hidden="1" customWidth="1" outlineLevel="1"/>
    <col min="22" max="22" width="45.6640625" hidden="1" customWidth="1" outlineLevel="1"/>
    <col min="23" max="25" width="12.6640625" hidden="1" customWidth="1" outlineLevel="1"/>
    <col min="26" max="26" width="1.6640625" hidden="1" customWidth="1" outlineLevel="1"/>
    <col min="27" max="27" width="45.6640625" hidden="1" customWidth="1" outlineLevel="1"/>
    <col min="28" max="30" width="12.6640625" hidden="1" customWidth="1" outlineLevel="1"/>
    <col min="31" max="31" width="1.6640625" hidden="1" customWidth="1" outlineLevel="1"/>
    <col min="32" max="32" width="45.6640625" customWidth="1" collapsed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Riassunto!D7</f>
        <v>S. Paolo Museo - Uffici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+Riassunto!L7</f>
        <v>7440.4500000000007</v>
      </c>
      <c r="D2" s="306"/>
      <c r="E2" s="306"/>
    </row>
    <row r="3" spans="1:36" x14ac:dyDescent="0.3">
      <c r="A3" s="5"/>
      <c r="B3" s="5" t="s">
        <v>17</v>
      </c>
      <c r="C3" s="307">
        <f>Riassunto!I7</f>
        <v>30</v>
      </c>
      <c r="D3" s="307"/>
      <c r="E3" t="s">
        <v>18</v>
      </c>
    </row>
    <row r="4" spans="1:36" x14ac:dyDescent="0.3">
      <c r="A4" s="5"/>
      <c r="B4" s="5" t="s">
        <v>86</v>
      </c>
      <c r="C4" s="308">
        <v>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4.0320141926899575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/>
      <c r="D8" s="108"/>
      <c r="E8" s="109">
        <f>+D8-C8</f>
        <v>0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/>
      <c r="D9" s="108"/>
      <c r="E9" s="109">
        <f t="shared" ref="E9:E12" si="0">+D9-C9</f>
        <v>0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/>
      <c r="D10" s="108"/>
      <c r="E10" s="109">
        <f t="shared" si="0"/>
        <v>0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/>
      <c r="D11" s="108"/>
      <c r="E11" s="109">
        <f t="shared" si="0"/>
        <v>0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</v>
      </c>
      <c r="D12" s="110">
        <f>+D8*D9*D10*D11</f>
        <v>0</v>
      </c>
      <c r="E12" s="111">
        <f t="shared" si="0"/>
        <v>0</v>
      </c>
      <c r="F12" s="16"/>
      <c r="G12" s="13" t="s">
        <v>48</v>
      </c>
      <c r="H12" s="77"/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0.02</v>
      </c>
      <c r="D13" s="113"/>
      <c r="E13" s="113"/>
      <c r="F13" s="15"/>
      <c r="G13" s="13" t="s">
        <v>49</v>
      </c>
      <c r="H13" s="77"/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0.02</v>
      </c>
      <c r="D14" s="115"/>
      <c r="E14" s="115"/>
      <c r="G14" s="8" t="s">
        <v>50</v>
      </c>
      <c r="H14" s="78">
        <f>+H13*H12</f>
        <v>0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3.9513739088361581</v>
      </c>
      <c r="D17" s="70"/>
      <c r="E17" t="s">
        <v>20</v>
      </c>
    </row>
    <row r="18" spans="1:36" x14ac:dyDescent="0.3">
      <c r="A18" s="5"/>
      <c r="B18" s="5" t="s">
        <v>92</v>
      </c>
      <c r="C18" s="71">
        <f>+(C17*$C$2/1000)+$C$4</f>
        <v>29.399999999999995</v>
      </c>
      <c r="D18" s="72">
        <f>+(D17*$C$2/1000)+$C$4</f>
        <v>0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/>
      <c r="C22" s="65"/>
      <c r="D22" s="25"/>
      <c r="E22" s="64">
        <f t="shared" ref="E22:E33" si="3">+D22*C22</f>
        <v>0</v>
      </c>
      <c r="F22" s="64"/>
      <c r="G22" s="76"/>
      <c r="H22" s="65"/>
      <c r="I22" s="25"/>
      <c r="J22" s="64">
        <f>+I22*H22</f>
        <v>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/>
      <c r="AG22" s="65">
        <v>0</v>
      </c>
      <c r="AH22" s="84"/>
      <c r="AI22" s="64">
        <f>+AH22*AG22</f>
        <v>0</v>
      </c>
      <c r="AJ22" s="64"/>
    </row>
    <row r="23" spans="1:36" x14ac:dyDescent="0.3">
      <c r="B23" s="12"/>
      <c r="C23" s="65"/>
      <c r="D23" s="25"/>
      <c r="E23" s="64">
        <f t="shared" si="3"/>
        <v>0</v>
      </c>
      <c r="F23" s="64"/>
      <c r="G23" s="76"/>
      <c r="H23" s="65"/>
      <c r="I23" s="25"/>
      <c r="J23" s="64">
        <f t="shared" ref="J23:J32" si="4">+I23*H23</f>
        <v>0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>
        <v>0</v>
      </c>
      <c r="AC23" s="84">
        <v>120</v>
      </c>
      <c r="AD23" s="64">
        <f t="shared" ref="AD23:AD32" si="8">+AC23*AB23</f>
        <v>0</v>
      </c>
      <c r="AE23" s="64"/>
      <c r="AF23" s="76"/>
      <c r="AG23" s="65"/>
      <c r="AH23" s="84"/>
      <c r="AI23" s="64">
        <f t="shared" ref="AI23:AI32" si="9">+AH23*AG23</f>
        <v>0</v>
      </c>
      <c r="AJ23" s="64"/>
    </row>
    <row r="24" spans="1:36" x14ac:dyDescent="0.3">
      <c r="B24" s="12"/>
      <c r="C24" s="65"/>
      <c r="D24" s="25"/>
      <c r="E24" s="64">
        <f t="shared" si="3"/>
        <v>0</v>
      </c>
      <c r="F24" s="64"/>
      <c r="G24" s="76"/>
      <c r="H24" s="65"/>
      <c r="I24" s="25"/>
      <c r="J24" s="64">
        <f t="shared" si="4"/>
        <v>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/>
      <c r="AG24" s="65"/>
      <c r="AH24" s="25"/>
      <c r="AI24" s="64">
        <f t="shared" si="9"/>
        <v>0</v>
      </c>
      <c r="AJ24" s="64"/>
    </row>
    <row r="25" spans="1:36" x14ac:dyDescent="0.3">
      <c r="B25" s="12"/>
      <c r="C25" s="65"/>
      <c r="D25" s="25"/>
      <c r="E25" s="64">
        <f t="shared" si="3"/>
        <v>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/>
      <c r="AG25" s="65"/>
      <c r="AH25" s="25"/>
      <c r="AI25" s="64">
        <f t="shared" si="9"/>
        <v>0</v>
      </c>
      <c r="AJ25" s="64"/>
    </row>
    <row r="26" spans="1:36" x14ac:dyDescent="0.3">
      <c r="B26" s="76"/>
      <c r="C26" s="65"/>
      <c r="D26" s="25"/>
      <c r="E26" s="64">
        <f t="shared" si="3"/>
        <v>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76"/>
      <c r="C27" s="65"/>
      <c r="D27" s="25"/>
      <c r="E27" s="64">
        <f t="shared" si="3"/>
        <v>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/>
      <c r="C28" s="65"/>
      <c r="D28" s="25"/>
      <c r="E28" s="64">
        <f t="shared" si="3"/>
        <v>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/>
      <c r="C29" s="65"/>
      <c r="D29" s="25"/>
      <c r="E29" s="64">
        <f t="shared" si="3"/>
        <v>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/>
      <c r="E30" s="64">
        <f t="shared" si="3"/>
        <v>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/>
      <c r="C31" s="65"/>
      <c r="E31" s="64">
        <f t="shared" si="3"/>
        <v>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/>
      <c r="C32"/>
      <c r="E32" s="64">
        <f t="shared" si="3"/>
        <v>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x14ac:dyDescent="0.3">
      <c r="B33" s="12" t="s">
        <v>53</v>
      </c>
      <c r="C33" s="65"/>
      <c r="D33" s="25">
        <v>30</v>
      </c>
      <c r="E33" s="64">
        <f t="shared" si="3"/>
        <v>0</v>
      </c>
      <c r="F33" s="64"/>
      <c r="G33" s="12" t="s">
        <v>53</v>
      </c>
      <c r="H33" s="65"/>
      <c r="I33" s="25">
        <v>30</v>
      </c>
      <c r="J33" s="64">
        <f>+I33*H33</f>
        <v>0</v>
      </c>
      <c r="K33" s="64"/>
      <c r="L33" s="76"/>
      <c r="M33" s="65"/>
      <c r="N33" s="25"/>
      <c r="O33" s="64">
        <f>+N33*M33</f>
        <v>0</v>
      </c>
      <c r="P33" s="64"/>
      <c r="Q33" s="76"/>
      <c r="R33" s="65"/>
      <c r="S33" s="25"/>
      <c r="T33" s="64">
        <f>+S33*R33</f>
        <v>0</v>
      </c>
      <c r="U33" s="64"/>
      <c r="V33" s="76"/>
      <c r="W33" s="65"/>
      <c r="X33" s="25"/>
      <c r="Y33" s="64">
        <f>+X33*W33</f>
        <v>0</v>
      </c>
      <c r="Z33" s="64"/>
      <c r="AA33" s="76"/>
      <c r="AB33" s="65"/>
      <c r="AC33" s="25"/>
      <c r="AD33" s="64">
        <f>+AC33*AB33</f>
        <v>0</v>
      </c>
      <c r="AE33" s="64"/>
      <c r="AF33" s="76"/>
      <c r="AG33" s="65"/>
      <c r="AH33" s="25"/>
      <c r="AI33" s="64">
        <f>+AH33*AG33</f>
        <v>0</v>
      </c>
      <c r="AJ33" s="64"/>
    </row>
    <row r="34" spans="1:36" x14ac:dyDescent="0.3">
      <c r="B34" s="13"/>
      <c r="C34" s="66"/>
      <c r="D34" s="67"/>
      <c r="E34" s="64">
        <f>SUM(E22:E33)*D34</f>
        <v>0</v>
      </c>
      <c r="F34" s="64"/>
      <c r="G34" s="13" t="s">
        <v>90</v>
      </c>
      <c r="H34" s="66">
        <v>1</v>
      </c>
      <c r="I34" s="67">
        <v>0.05</v>
      </c>
      <c r="J34" s="64">
        <f>SUM(J22:J33)*I34</f>
        <v>0</v>
      </c>
      <c r="K34" s="64"/>
      <c r="L34" s="13" t="s">
        <v>90</v>
      </c>
      <c r="M34" s="66">
        <v>1</v>
      </c>
      <c r="N34" s="67">
        <v>0.05</v>
      </c>
      <c r="O34" s="64">
        <f>SUM(O22:O33)*N34</f>
        <v>0</v>
      </c>
      <c r="P34" s="64"/>
      <c r="Q34" s="13" t="s">
        <v>90</v>
      </c>
      <c r="R34" s="66">
        <v>1</v>
      </c>
      <c r="S34" s="67">
        <v>0.05</v>
      </c>
      <c r="T34" s="64">
        <f>SUM(T22:T33)*S34</f>
        <v>0</v>
      </c>
      <c r="U34" s="64"/>
      <c r="V34" s="13" t="s">
        <v>90</v>
      </c>
      <c r="W34" s="66">
        <v>1</v>
      </c>
      <c r="X34" s="67">
        <v>0.05</v>
      </c>
      <c r="Y34" s="64">
        <f>SUM(Y22:Y33)*X34</f>
        <v>0</v>
      </c>
      <c r="Z34" s="64"/>
      <c r="AA34" s="13" t="s">
        <v>90</v>
      </c>
      <c r="AB34" s="66">
        <v>1</v>
      </c>
      <c r="AC34" s="67">
        <v>0.05</v>
      </c>
      <c r="AD34" s="64">
        <f>SUM(AD22:AD33)*AC34</f>
        <v>0</v>
      </c>
      <c r="AE34" s="64"/>
      <c r="AF34" s="13" t="s">
        <v>90</v>
      </c>
      <c r="AG34" s="66">
        <v>1</v>
      </c>
      <c r="AH34" s="67">
        <v>0.05</v>
      </c>
      <c r="AI34" s="64">
        <f>SUM(AI22:AI33)*AH34</f>
        <v>0</v>
      </c>
      <c r="AJ34" s="64"/>
    </row>
    <row r="35" spans="1:36" x14ac:dyDescent="0.3">
      <c r="B35" s="13" t="s">
        <v>23</v>
      </c>
      <c r="C35" s="66"/>
      <c r="D35" s="25"/>
      <c r="E35" s="64">
        <f>+D35*C35</f>
        <v>0</v>
      </c>
      <c r="F35" s="64"/>
      <c r="G35" s="13" t="s">
        <v>23</v>
      </c>
      <c r="H35" s="66">
        <v>1</v>
      </c>
      <c r="I35" s="25">
        <v>0</v>
      </c>
      <c r="J35" s="64">
        <f>+I35*H35</f>
        <v>0</v>
      </c>
      <c r="K35" s="64"/>
      <c r="L35" s="13" t="s">
        <v>23</v>
      </c>
      <c r="M35" s="66">
        <v>1</v>
      </c>
      <c r="N35" s="25">
        <v>0</v>
      </c>
      <c r="O35" s="64">
        <f>+N35*M35</f>
        <v>0</v>
      </c>
      <c r="P35" s="64"/>
      <c r="Q35" s="13" t="s">
        <v>23</v>
      </c>
      <c r="R35" s="66">
        <v>1</v>
      </c>
      <c r="S35" s="25">
        <v>0</v>
      </c>
      <c r="T35" s="64">
        <f>+S35*R35</f>
        <v>0</v>
      </c>
      <c r="U35" s="64"/>
      <c r="V35" s="13" t="s">
        <v>23</v>
      </c>
      <c r="W35" s="66">
        <v>1</v>
      </c>
      <c r="X35" s="25">
        <v>0</v>
      </c>
      <c r="Y35" s="64">
        <f>+X35*W35</f>
        <v>0</v>
      </c>
      <c r="Z35" s="64"/>
      <c r="AA35" s="13" t="s">
        <v>23</v>
      </c>
      <c r="AB35" s="66">
        <v>1</v>
      </c>
      <c r="AC35" s="25">
        <v>0</v>
      </c>
      <c r="AD35" s="64">
        <f>+AC35*AB35</f>
        <v>0</v>
      </c>
      <c r="AE35" s="64"/>
      <c r="AF35" s="13" t="s">
        <v>23</v>
      </c>
      <c r="AG35" s="66">
        <v>1</v>
      </c>
      <c r="AH35" s="25">
        <v>0</v>
      </c>
      <c r="AI35" s="64">
        <f>+AH35*AG35</f>
        <v>0</v>
      </c>
      <c r="AJ35" s="64"/>
    </row>
    <row r="36" spans="1:36" x14ac:dyDescent="0.3">
      <c r="B36" s="304" t="s">
        <v>22</v>
      </c>
      <c r="C36" s="304"/>
      <c r="D36" s="304"/>
      <c r="E36" s="26">
        <f>SUM(E22:E35)</f>
        <v>0</v>
      </c>
      <c r="F36" s="26"/>
      <c r="G36" s="304" t="s">
        <v>22</v>
      </c>
      <c r="H36" s="304"/>
      <c r="I36" s="304"/>
      <c r="J36" s="26">
        <f>SUM(J22:J35)</f>
        <v>0</v>
      </c>
      <c r="K36" s="26"/>
      <c r="L36" s="304" t="s">
        <v>22</v>
      </c>
      <c r="M36" s="304"/>
      <c r="N36" s="304"/>
      <c r="O36" s="26">
        <f>SUM(O22:O35)</f>
        <v>0</v>
      </c>
      <c r="P36" s="26"/>
      <c r="Q36" s="304" t="s">
        <v>22</v>
      </c>
      <c r="R36" s="304"/>
      <c r="S36" s="304"/>
      <c r="T36" s="26">
        <f>SUM(T22:T35)</f>
        <v>0</v>
      </c>
      <c r="U36" s="26"/>
      <c r="V36" s="304" t="s">
        <v>22</v>
      </c>
      <c r="W36" s="304"/>
      <c r="X36" s="304"/>
      <c r="Y36" s="26">
        <f>SUM(Y22:Y35)</f>
        <v>0</v>
      </c>
      <c r="Z36" s="26"/>
      <c r="AA36" s="304" t="s">
        <v>22</v>
      </c>
      <c r="AB36" s="304"/>
      <c r="AC36" s="304"/>
      <c r="AD36" s="26">
        <f>SUM(AD22:AD35)</f>
        <v>0</v>
      </c>
      <c r="AE36" s="26"/>
      <c r="AF36" s="304" t="s">
        <v>22</v>
      </c>
      <c r="AG36" s="304"/>
      <c r="AH36" s="304"/>
      <c r="AI36" s="26">
        <f>SUM(AI22:AI35)</f>
        <v>0</v>
      </c>
      <c r="AJ36" s="26"/>
    </row>
    <row r="37" spans="1:36" ht="3" customHeight="1" x14ac:dyDescent="0.3">
      <c r="A37" s="5"/>
      <c r="B37" s="23"/>
      <c r="C37" s="74"/>
      <c r="I37" s="8"/>
      <c r="J37" s="10"/>
      <c r="N37" s="8"/>
      <c r="O37" s="10"/>
      <c r="S37" s="8"/>
      <c r="T37" s="10"/>
      <c r="X37" s="8"/>
      <c r="Y37" s="10"/>
      <c r="AC37" s="8"/>
      <c r="AD37" s="10"/>
      <c r="AH37" s="8"/>
      <c r="AI37" s="10"/>
    </row>
    <row r="38" spans="1:36" x14ac:dyDescent="0.3">
      <c r="B38" s="311" t="s">
        <v>33</v>
      </c>
      <c r="C38" s="311"/>
      <c r="D38" s="311"/>
      <c r="E38" s="311"/>
    </row>
    <row r="39" spans="1:36" x14ac:dyDescent="0.3">
      <c r="B39" s="21" t="s">
        <v>0</v>
      </c>
      <c r="C39" s="21" t="s">
        <v>87</v>
      </c>
      <c r="D39" s="21" t="s">
        <v>88</v>
      </c>
      <c r="E39" s="21" t="s">
        <v>89</v>
      </c>
    </row>
    <row r="40" spans="1:36" x14ac:dyDescent="0.3">
      <c r="B40" s="76"/>
      <c r="C40" s="65"/>
      <c r="D40" s="25"/>
      <c r="E40" s="64">
        <f t="shared" ref="E40:E46" si="10">+D40*C40</f>
        <v>0</v>
      </c>
    </row>
    <row r="41" spans="1:36" x14ac:dyDescent="0.3">
      <c r="A41" s="24"/>
      <c r="B41" s="76"/>
      <c r="C41" s="65"/>
      <c r="D41" s="25"/>
      <c r="E41" s="64">
        <f t="shared" si="10"/>
        <v>0</v>
      </c>
    </row>
    <row r="42" spans="1:36" x14ac:dyDescent="0.3">
      <c r="A42" s="24"/>
      <c r="B42" s="76"/>
      <c r="C42" s="65"/>
      <c r="D42" s="25"/>
      <c r="E42" s="64">
        <f t="shared" si="10"/>
        <v>0</v>
      </c>
    </row>
    <row r="43" spans="1:36" x14ac:dyDescent="0.3">
      <c r="A43" s="24"/>
      <c r="B43" s="76"/>
      <c r="C43" s="65"/>
      <c r="D43" s="25"/>
      <c r="E43" s="64">
        <f t="shared" si="10"/>
        <v>0</v>
      </c>
    </row>
    <row r="44" spans="1:36" x14ac:dyDescent="0.3">
      <c r="B44" s="76"/>
      <c r="C44" s="65"/>
      <c r="D44" s="25"/>
      <c r="E44" s="64">
        <f t="shared" si="10"/>
        <v>0</v>
      </c>
      <c r="AF44" s="65"/>
    </row>
    <row r="45" spans="1:36" x14ac:dyDescent="0.3">
      <c r="B45" s="76"/>
      <c r="C45" s="65"/>
      <c r="D45" s="25"/>
      <c r="E45" s="64">
        <f t="shared" si="10"/>
        <v>0</v>
      </c>
      <c r="AF45" s="65"/>
    </row>
    <row r="46" spans="1:36" x14ac:dyDescent="0.3">
      <c r="B46" s="12" t="s">
        <v>53</v>
      </c>
      <c r="C46" s="65"/>
      <c r="D46" s="25">
        <v>30</v>
      </c>
      <c r="E46" s="64">
        <f t="shared" si="10"/>
        <v>0</v>
      </c>
      <c r="AF46" s="65"/>
    </row>
    <row r="47" spans="1:36" x14ac:dyDescent="0.3">
      <c r="B47" s="13"/>
      <c r="C47" s="65"/>
      <c r="D47" s="67"/>
      <c r="E47" s="64">
        <f>SUM(E38:E46)*D47</f>
        <v>0</v>
      </c>
      <c r="AF47" s="65"/>
    </row>
    <row r="48" spans="1:36" x14ac:dyDescent="0.3">
      <c r="B48" s="13" t="s">
        <v>23</v>
      </c>
      <c r="C48" s="65"/>
      <c r="D48" s="25">
        <v>0</v>
      </c>
      <c r="E48" s="64">
        <f>+D48*C48</f>
        <v>0</v>
      </c>
      <c r="AF48" s="65"/>
    </row>
    <row r="49" spans="1:35" x14ac:dyDescent="0.3">
      <c r="B49" s="304" t="s">
        <v>22</v>
      </c>
      <c r="C49" s="304"/>
      <c r="D49" s="304"/>
      <c r="E49" s="26">
        <f>SUM(E38:E48)</f>
        <v>0</v>
      </c>
      <c r="AF49" s="65"/>
    </row>
    <row r="50" spans="1:35" ht="3" customHeight="1" x14ac:dyDescent="0.3">
      <c r="A50" s="5"/>
      <c r="B50" s="23"/>
      <c r="C50" s="74"/>
      <c r="I50" s="8"/>
      <c r="J50" s="10"/>
      <c r="N50" s="8"/>
      <c r="O50" s="10"/>
      <c r="S50" s="8"/>
      <c r="T50" s="10"/>
      <c r="X50" s="8"/>
      <c r="Y50" s="10"/>
      <c r="AC50" s="8"/>
      <c r="AD50" s="10"/>
      <c r="AF50" s="65"/>
      <c r="AH50" s="8"/>
      <c r="AI50" s="10"/>
    </row>
    <row r="51" spans="1:35" x14ac:dyDescent="0.3">
      <c r="B51" s="303" t="s">
        <v>12</v>
      </c>
      <c r="C51" s="303"/>
      <c r="D51" s="303"/>
      <c r="E51" s="303"/>
      <c r="AF51" s="65"/>
    </row>
    <row r="52" spans="1:35" x14ac:dyDescent="0.3">
      <c r="A52" s="24"/>
      <c r="B52" s="21" t="s">
        <v>0</v>
      </c>
      <c r="C52" s="21" t="s">
        <v>87</v>
      </c>
      <c r="D52" s="21" t="s">
        <v>88</v>
      </c>
      <c r="E52" s="21" t="s">
        <v>89</v>
      </c>
      <c r="AF52" s="6"/>
    </row>
    <row r="53" spans="1:35" x14ac:dyDescent="0.3">
      <c r="A53" s="24"/>
      <c r="B53" s="155" t="s">
        <v>213</v>
      </c>
      <c r="C53" s="65">
        <v>1</v>
      </c>
      <c r="D53" s="25">
        <f>VLOOKUP(B53,Coster!$B$5:$D$43,3,FALSE)</f>
        <v>480</v>
      </c>
      <c r="E53" s="64">
        <f t="shared" ref="E53:E63" si="11">+D53*C53</f>
        <v>480</v>
      </c>
      <c r="AF53" s="65"/>
    </row>
    <row r="54" spans="1:35" x14ac:dyDescent="0.3">
      <c r="B54" s="155" t="s">
        <v>203</v>
      </c>
      <c r="C54" s="65">
        <v>1</v>
      </c>
      <c r="D54" s="25">
        <f>VLOOKUP(B54,Coster!$B$5:$D$43,3,FALSE)</f>
        <v>30</v>
      </c>
      <c r="E54" s="64">
        <f t="shared" si="11"/>
        <v>30</v>
      </c>
    </row>
    <row r="55" spans="1:35" x14ac:dyDescent="0.3">
      <c r="B55" s="156" t="s">
        <v>202</v>
      </c>
      <c r="C55" s="65">
        <v>1</v>
      </c>
      <c r="D55" s="25">
        <f>VLOOKUP(B55,Coster!$B$5:$D$43,3,FALSE)</f>
        <v>30</v>
      </c>
      <c r="E55" s="64">
        <f t="shared" si="11"/>
        <v>30</v>
      </c>
      <c r="AF55" s="65"/>
    </row>
    <row r="56" spans="1:35" x14ac:dyDescent="0.3">
      <c r="B56" s="155"/>
      <c r="C56" s="65"/>
      <c r="D56" s="25"/>
      <c r="E56" s="64">
        <f t="shared" si="11"/>
        <v>0</v>
      </c>
      <c r="AF56" s="66"/>
    </row>
    <row r="57" spans="1:35" x14ac:dyDescent="0.3">
      <c r="B57" s="76"/>
      <c r="C57" s="65"/>
      <c r="D57" s="25"/>
      <c r="E57" s="64">
        <f t="shared" si="11"/>
        <v>0</v>
      </c>
      <c r="AF57" s="66"/>
    </row>
    <row r="58" spans="1:35" x14ac:dyDescent="0.3">
      <c r="B58" s="76"/>
      <c r="C58" s="65"/>
      <c r="D58" s="25"/>
      <c r="E58" s="64">
        <f t="shared" si="11"/>
        <v>0</v>
      </c>
    </row>
    <row r="59" spans="1:35" x14ac:dyDescent="0.3">
      <c r="B59" s="76"/>
      <c r="C59" s="65"/>
      <c r="D59" s="25"/>
      <c r="E59" s="64">
        <f t="shared" si="11"/>
        <v>0</v>
      </c>
    </row>
    <row r="60" spans="1:35" x14ac:dyDescent="0.3">
      <c r="B60" s="12"/>
      <c r="C60" s="65"/>
      <c r="D60" s="25"/>
      <c r="E60" s="64">
        <f t="shared" si="11"/>
        <v>0</v>
      </c>
    </row>
    <row r="61" spans="1:35" x14ac:dyDescent="0.3">
      <c r="B61" s="76"/>
      <c r="C61" s="65"/>
      <c r="D61" s="25"/>
      <c r="E61" s="64">
        <f t="shared" si="11"/>
        <v>0</v>
      </c>
    </row>
    <row r="62" spans="1:35" x14ac:dyDescent="0.3">
      <c r="B62" s="12"/>
      <c r="C62" s="65"/>
      <c r="D62" s="25"/>
      <c r="E62" s="64">
        <f t="shared" si="11"/>
        <v>0</v>
      </c>
    </row>
    <row r="63" spans="1:35" x14ac:dyDescent="0.3">
      <c r="B63" s="12" t="s">
        <v>53</v>
      </c>
      <c r="C63" s="65">
        <v>8</v>
      </c>
      <c r="D63" s="25">
        <v>30</v>
      </c>
      <c r="E63" s="64">
        <f t="shared" si="11"/>
        <v>240</v>
      </c>
    </row>
    <row r="64" spans="1:35" x14ac:dyDescent="0.3">
      <c r="B64" s="13"/>
      <c r="C64" s="65"/>
      <c r="D64" s="67"/>
      <c r="E64" s="64">
        <f>SUM(E51:E63)*D64</f>
        <v>0</v>
      </c>
    </row>
    <row r="65" spans="2:5" x14ac:dyDescent="0.3">
      <c r="B65" s="13" t="s">
        <v>23</v>
      </c>
      <c r="C65" s="65"/>
      <c r="D65" s="25">
        <v>0</v>
      </c>
      <c r="E65" s="64">
        <f>+D65*C65</f>
        <v>0</v>
      </c>
    </row>
    <row r="66" spans="2:5" x14ac:dyDescent="0.3">
      <c r="B66" s="304" t="s">
        <v>22</v>
      </c>
      <c r="C66" s="304"/>
      <c r="D66" s="304"/>
      <c r="E66" s="26">
        <f>SUM(E51:E65)</f>
        <v>780</v>
      </c>
    </row>
    <row r="67" spans="2:5" x14ac:dyDescent="0.3">
      <c r="B67" s="57"/>
      <c r="C67" s="51"/>
      <c r="D67" s="15"/>
      <c r="E67" s="15"/>
    </row>
    <row r="68" spans="2:5" x14ac:dyDescent="0.3">
      <c r="B68" s="50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8"/>
      <c r="C72" s="59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60"/>
      <c r="C77" s="61"/>
      <c r="D77" s="15"/>
      <c r="E77" s="15"/>
    </row>
    <row r="78" spans="2:5" x14ac:dyDescent="0.3">
      <c r="B78" s="62"/>
      <c r="C78" s="63"/>
      <c r="D78" s="15"/>
      <c r="E78" s="15"/>
    </row>
    <row r="79" spans="2:5" x14ac:dyDescent="0.3">
      <c r="B79" s="58"/>
      <c r="C79" s="56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79"/>
      <c r="C81" s="80"/>
      <c r="D81" s="15"/>
      <c r="E81" s="15"/>
    </row>
  </sheetData>
  <mergeCells count="23">
    <mergeCell ref="AF36:AH36"/>
    <mergeCell ref="B38:E38"/>
    <mergeCell ref="B49:D49"/>
    <mergeCell ref="B51:E51"/>
    <mergeCell ref="B66:D66"/>
    <mergeCell ref="B36:D36"/>
    <mergeCell ref="G36:I36"/>
    <mergeCell ref="L36:N36"/>
    <mergeCell ref="Q36:S36"/>
    <mergeCell ref="V36:X36"/>
    <mergeCell ref="AA36:AC36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J82"/>
  <sheetViews>
    <sheetView zoomScaleNormal="100" workbookViewId="0">
      <selection activeCell="D10" sqref="D10"/>
    </sheetView>
  </sheetViews>
  <sheetFormatPr defaultRowHeight="14.4" x14ac:dyDescent="0.3"/>
  <cols>
    <col min="1" max="1" width="1.6640625" customWidth="1"/>
    <col min="2" max="2" width="45.6640625" customWidth="1"/>
    <col min="3" max="3" width="12.6640625" style="6" customWidth="1"/>
    <col min="4" max="5" width="12.6640625" customWidth="1"/>
    <col min="6" max="6" width="1.6640625" customWidth="1"/>
    <col min="7" max="7" width="45.6640625" customWidth="1"/>
    <col min="8" max="10" width="12.6640625" customWidth="1"/>
    <col min="11" max="11" width="1.6640625" hidden="1" customWidth="1"/>
    <col min="12" max="12" width="45.6640625" hidden="1" customWidth="1"/>
    <col min="13" max="15" width="12.6640625" hidden="1" customWidth="1"/>
    <col min="16" max="16" width="1.6640625" hidden="1" customWidth="1"/>
    <col min="17" max="17" width="45.6640625" hidden="1" customWidth="1"/>
    <col min="18" max="20" width="12.6640625" hidden="1" customWidth="1"/>
    <col min="21" max="21" width="1.6640625" hidden="1" customWidth="1"/>
    <col min="22" max="22" width="45.6640625" hidden="1" customWidth="1"/>
    <col min="23" max="25" width="12.6640625" hidden="1" customWidth="1"/>
    <col min="26" max="26" width="1.6640625" hidden="1" customWidth="1"/>
    <col min="27" max="27" width="45.6640625" hidden="1" customWidth="1"/>
    <col min="28" max="30" width="12.6640625" hidden="1" customWidth="1"/>
    <col min="31" max="31" width="1.6640625" customWidth="1"/>
    <col min="32" max="32" width="45.6640625" customWidth="1"/>
    <col min="33" max="35" width="12.6640625" customWidth="1"/>
    <col min="36" max="36" width="1.6640625" customWidth="1"/>
  </cols>
  <sheetData>
    <row r="1" spans="1:36" x14ac:dyDescent="0.3">
      <c r="A1" s="5"/>
      <c r="B1" s="314" t="str">
        <f>Riassunto!D8</f>
        <v>Centro La Ginestra / Casa Albergo</v>
      </c>
      <c r="C1" s="314"/>
      <c r="D1" s="314"/>
      <c r="E1" s="314"/>
    </row>
    <row r="2" spans="1:36" x14ac:dyDescent="0.3">
      <c r="A2" s="5"/>
      <c r="B2" s="5" t="s">
        <v>16</v>
      </c>
      <c r="C2" s="306">
        <f>+Riassunto!L8</f>
        <v>3411.3</v>
      </c>
      <c r="D2" s="306"/>
      <c r="E2" s="306"/>
    </row>
    <row r="3" spans="1:36" x14ac:dyDescent="0.3">
      <c r="A3" s="5"/>
      <c r="B3" s="5" t="s">
        <v>17</v>
      </c>
      <c r="C3" s="307">
        <f>Riassunto!I8</f>
        <v>90</v>
      </c>
      <c r="D3" s="307"/>
      <c r="E3" t="s">
        <v>18</v>
      </c>
    </row>
    <row r="4" spans="1:36" x14ac:dyDescent="0.3">
      <c r="A4" s="5"/>
      <c r="B4" s="5" t="s">
        <v>86</v>
      </c>
      <c r="C4" s="308">
        <v>30</v>
      </c>
      <c r="D4" s="308"/>
      <c r="E4" t="s">
        <v>18</v>
      </c>
    </row>
    <row r="5" spans="1:36" ht="16.2" x14ac:dyDescent="0.3">
      <c r="A5" s="5"/>
      <c r="B5" s="5" t="s">
        <v>19</v>
      </c>
      <c r="C5" s="309">
        <f>+(C3-C4)*1000/C2</f>
        <v>17.58860258552458</v>
      </c>
      <c r="D5" s="309"/>
      <c r="E5" t="s">
        <v>20</v>
      </c>
    </row>
    <row r="6" spans="1:36" ht="3" customHeight="1" x14ac:dyDescent="0.3">
      <c r="A6" s="5"/>
      <c r="B6" s="5"/>
      <c r="C6" s="7"/>
    </row>
    <row r="7" spans="1:36" x14ac:dyDescent="0.3">
      <c r="A7" s="5"/>
      <c r="B7" s="21" t="s">
        <v>24</v>
      </c>
      <c r="C7" s="21" t="s">
        <v>29</v>
      </c>
      <c r="D7" s="21" t="s">
        <v>30</v>
      </c>
      <c r="E7" s="21" t="s">
        <v>34</v>
      </c>
      <c r="F7" s="21"/>
      <c r="G7" s="21"/>
      <c r="H7" s="21"/>
      <c r="I7" s="21"/>
      <c r="J7" s="21"/>
      <c r="K7" s="21"/>
      <c r="N7" s="21"/>
      <c r="O7" s="21"/>
      <c r="P7" s="21"/>
      <c r="S7" s="21"/>
      <c r="T7" s="21"/>
      <c r="U7" s="21"/>
      <c r="X7" s="21"/>
      <c r="Y7" s="21"/>
      <c r="Z7" s="21"/>
      <c r="AE7" s="21"/>
      <c r="AJ7" s="21"/>
    </row>
    <row r="8" spans="1:36" x14ac:dyDescent="0.3">
      <c r="A8" s="5"/>
      <c r="B8" s="5" t="s">
        <v>25</v>
      </c>
      <c r="C8" s="108">
        <v>0.92</v>
      </c>
      <c r="D8" s="108">
        <v>1</v>
      </c>
      <c r="E8" s="109">
        <f>+D8-C8</f>
        <v>7.999999999999996E-2</v>
      </c>
      <c r="F8" s="22"/>
      <c r="G8" s="22"/>
      <c r="H8" s="22"/>
      <c r="I8" s="22"/>
      <c r="J8" s="22"/>
      <c r="K8" s="22"/>
      <c r="L8" s="81" t="s">
        <v>98</v>
      </c>
      <c r="M8" s="82">
        <v>0</v>
      </c>
      <c r="N8" s="22"/>
      <c r="O8" s="22"/>
      <c r="P8" s="22"/>
      <c r="S8" s="22"/>
      <c r="T8" s="22"/>
      <c r="U8" s="22"/>
      <c r="X8" s="22"/>
      <c r="Y8" s="22"/>
      <c r="Z8" s="22"/>
      <c r="AE8" s="22"/>
      <c r="AJ8" s="22"/>
    </row>
    <row r="9" spans="1:36" x14ac:dyDescent="0.3">
      <c r="A9" s="5"/>
      <c r="B9" s="5" t="s">
        <v>26</v>
      </c>
      <c r="C9" s="108">
        <v>0.85</v>
      </c>
      <c r="D9" s="108">
        <v>0.96</v>
      </c>
      <c r="E9" s="109">
        <f t="shared" ref="E9:E12" si="0">+D9-C9</f>
        <v>0.10999999999999999</v>
      </c>
      <c r="F9" s="22"/>
      <c r="G9" s="22"/>
      <c r="H9" s="22"/>
      <c r="I9" s="22"/>
      <c r="J9" s="22"/>
      <c r="K9" s="22"/>
      <c r="L9" s="5" t="s">
        <v>99</v>
      </c>
      <c r="M9" s="77">
        <v>0</v>
      </c>
      <c r="N9" s="22"/>
      <c r="O9" s="22"/>
      <c r="P9" s="22"/>
      <c r="Q9" s="81" t="s">
        <v>104</v>
      </c>
      <c r="R9" s="82">
        <v>0</v>
      </c>
      <c r="S9" s="22"/>
      <c r="T9" s="22"/>
      <c r="U9" s="22"/>
      <c r="V9" s="81" t="s">
        <v>106</v>
      </c>
      <c r="W9" s="82">
        <v>0</v>
      </c>
      <c r="X9" s="22"/>
      <c r="Y9" s="22"/>
      <c r="Z9" s="22"/>
      <c r="AA9" s="5" t="s">
        <v>35</v>
      </c>
      <c r="AB9" s="88">
        <v>0</v>
      </c>
      <c r="AC9" s="88">
        <v>0</v>
      </c>
      <c r="AD9" s="88">
        <v>0</v>
      </c>
      <c r="AE9" s="22"/>
      <c r="AF9" s="5"/>
      <c r="AG9" s="85"/>
      <c r="AH9" s="85"/>
      <c r="AI9" s="85"/>
      <c r="AJ9" s="22"/>
    </row>
    <row r="10" spans="1:36" x14ac:dyDescent="0.3">
      <c r="A10" s="5"/>
      <c r="B10" s="5" t="s">
        <v>27</v>
      </c>
      <c r="C10" s="108">
        <v>0.92700000000000005</v>
      </c>
      <c r="D10" s="108">
        <v>0.93100000000000005</v>
      </c>
      <c r="E10" s="109">
        <f t="shared" si="0"/>
        <v>4.0000000000000036E-3</v>
      </c>
      <c r="F10" s="22"/>
      <c r="G10" s="22"/>
      <c r="H10" s="22"/>
      <c r="I10" s="22"/>
      <c r="J10" s="22"/>
      <c r="K10" s="22"/>
      <c r="L10" s="5" t="s">
        <v>40</v>
      </c>
      <c r="M10" s="83">
        <v>2</v>
      </c>
      <c r="N10" s="22"/>
      <c r="O10" s="22"/>
      <c r="P10" s="22"/>
      <c r="Q10" s="14" t="s">
        <v>37</v>
      </c>
      <c r="R10" s="83">
        <v>1</v>
      </c>
      <c r="S10" s="22"/>
      <c r="T10" s="22"/>
      <c r="U10" s="22"/>
      <c r="V10" s="5" t="s">
        <v>41</v>
      </c>
      <c r="W10" s="83">
        <v>6</v>
      </c>
      <c r="X10" s="22"/>
      <c r="Y10" s="22"/>
      <c r="Z10" s="22"/>
      <c r="AA10" s="5" t="s">
        <v>108</v>
      </c>
      <c r="AB10" s="89">
        <v>0</v>
      </c>
      <c r="AC10" s="89">
        <v>0</v>
      </c>
      <c r="AD10" s="89">
        <v>0</v>
      </c>
      <c r="AE10" s="22"/>
      <c r="AF10" s="5"/>
      <c r="AG10" s="86"/>
      <c r="AH10" s="86"/>
      <c r="AI10" s="86"/>
      <c r="AJ10" s="22"/>
    </row>
    <row r="11" spans="1:36" x14ac:dyDescent="0.3">
      <c r="A11" s="5"/>
      <c r="B11" s="5" t="s">
        <v>28</v>
      </c>
      <c r="C11" s="108">
        <v>0.92</v>
      </c>
      <c r="D11" s="108">
        <v>0.93</v>
      </c>
      <c r="E11" s="109">
        <f t="shared" si="0"/>
        <v>1.0000000000000009E-2</v>
      </c>
      <c r="F11" s="22"/>
      <c r="G11" s="22"/>
      <c r="H11" s="22"/>
      <c r="I11" s="22"/>
      <c r="J11" s="22"/>
      <c r="K11" s="22"/>
      <c r="L11" s="5" t="s">
        <v>39</v>
      </c>
      <c r="M11" s="83">
        <v>0.5</v>
      </c>
      <c r="N11" s="20"/>
      <c r="O11" s="22"/>
      <c r="P11" s="22"/>
      <c r="Q11" s="14" t="s">
        <v>38</v>
      </c>
      <c r="R11" s="83">
        <v>0.3</v>
      </c>
      <c r="S11" s="20"/>
      <c r="T11" s="22"/>
      <c r="U11" s="22"/>
      <c r="V11" s="5" t="s">
        <v>42</v>
      </c>
      <c r="W11" s="83">
        <v>1.8</v>
      </c>
      <c r="X11" s="20"/>
      <c r="Y11" s="22"/>
      <c r="Z11" s="22"/>
      <c r="AA11" s="81" t="s">
        <v>109</v>
      </c>
      <c r="AB11" s="87">
        <f>+AB9*AB10</f>
        <v>0</v>
      </c>
      <c r="AC11" s="87">
        <f t="shared" ref="AC11:AD11" si="1">+AC9*AC10</f>
        <v>0</v>
      </c>
      <c r="AD11" s="87">
        <f t="shared" si="1"/>
        <v>0</v>
      </c>
      <c r="AE11" s="22"/>
      <c r="AF11" s="81"/>
      <c r="AG11" s="87"/>
      <c r="AH11" s="87"/>
      <c r="AI11" s="87"/>
      <c r="AJ11" s="22"/>
    </row>
    <row r="12" spans="1:36" x14ac:dyDescent="0.3">
      <c r="A12" s="5"/>
      <c r="B12" s="5" t="s">
        <v>31</v>
      </c>
      <c r="C12" s="110">
        <f>+C8*C9*C10*C11</f>
        <v>0.66692088000000005</v>
      </c>
      <c r="D12" s="110">
        <f>+D8*D9*D10*D11</f>
        <v>0.83119680000000007</v>
      </c>
      <c r="E12" s="111">
        <f t="shared" si="0"/>
        <v>0.16427592000000002</v>
      </c>
      <c r="F12" s="16"/>
      <c r="G12" s="13" t="s">
        <v>48</v>
      </c>
      <c r="H12" s="77">
        <v>0.4</v>
      </c>
      <c r="K12" s="16"/>
      <c r="L12" s="5" t="s">
        <v>100</v>
      </c>
      <c r="M12" s="77">
        <v>0.7</v>
      </c>
      <c r="N12" s="18"/>
      <c r="P12" s="16"/>
      <c r="Q12" s="5" t="s">
        <v>100</v>
      </c>
      <c r="R12" s="77">
        <v>0.7</v>
      </c>
      <c r="S12" s="18"/>
      <c r="U12" s="16"/>
      <c r="V12" s="5" t="s">
        <v>100</v>
      </c>
      <c r="W12" s="77">
        <v>0.7</v>
      </c>
      <c r="X12" s="18"/>
      <c r="Z12" s="16"/>
      <c r="AA12" s="81" t="s">
        <v>36</v>
      </c>
      <c r="AB12" s="89">
        <v>0</v>
      </c>
      <c r="AC12" s="89">
        <v>0</v>
      </c>
      <c r="AD12" s="89">
        <v>0</v>
      </c>
      <c r="AE12" s="16"/>
      <c r="AF12" s="81"/>
      <c r="AG12" s="87"/>
      <c r="AH12" s="87"/>
      <c r="AI12" s="87"/>
      <c r="AJ12" s="16"/>
    </row>
    <row r="13" spans="1:36" x14ac:dyDescent="0.3">
      <c r="A13" s="14"/>
      <c r="B13" s="14" t="s">
        <v>83</v>
      </c>
      <c r="C13" s="112">
        <v>0</v>
      </c>
      <c r="D13" s="113"/>
      <c r="E13" s="113"/>
      <c r="F13" s="15"/>
      <c r="G13" s="13" t="s">
        <v>49</v>
      </c>
      <c r="H13" s="77">
        <v>0.5</v>
      </c>
      <c r="K13" s="15"/>
      <c r="L13" s="5" t="s">
        <v>101</v>
      </c>
      <c r="M13" s="77">
        <v>0.35</v>
      </c>
      <c r="N13" s="18"/>
      <c r="P13" s="15"/>
      <c r="Q13" s="5" t="s">
        <v>103</v>
      </c>
      <c r="R13" s="77">
        <v>0.45</v>
      </c>
      <c r="S13" s="18"/>
      <c r="U13" s="15"/>
      <c r="V13" s="5" t="s">
        <v>103</v>
      </c>
      <c r="W13" s="77">
        <v>0.15</v>
      </c>
      <c r="X13" s="18"/>
      <c r="Z13" s="15"/>
      <c r="AA13" s="81" t="s">
        <v>110</v>
      </c>
      <c r="AB13" s="87">
        <f>+AB12*AB9</f>
        <v>0</v>
      </c>
      <c r="AC13" s="87">
        <f t="shared" ref="AC13:AD13" si="2">+AC12*AC9</f>
        <v>0</v>
      </c>
      <c r="AD13" s="87">
        <f t="shared" si="2"/>
        <v>0</v>
      </c>
      <c r="AE13" s="15"/>
      <c r="AF13" s="81"/>
      <c r="AG13" s="87"/>
      <c r="AH13" s="87"/>
      <c r="AI13" s="87"/>
      <c r="AJ13" s="15"/>
    </row>
    <row r="14" spans="1:36" x14ac:dyDescent="0.3">
      <c r="A14" s="5"/>
      <c r="B14" s="23" t="s">
        <v>47</v>
      </c>
      <c r="C14" s="114">
        <f>+C13+E12</f>
        <v>0.16427592000000002</v>
      </c>
      <c r="D14" s="115"/>
      <c r="E14" s="115"/>
      <c r="G14" s="8" t="s">
        <v>50</v>
      </c>
      <c r="H14" s="78">
        <f>+H13*H12</f>
        <v>0.2</v>
      </c>
      <c r="L14" s="19" t="s">
        <v>43</v>
      </c>
      <c r="M14" s="78">
        <f>+M12*M13*(M10-M11)/M10</f>
        <v>0.18374999999999997</v>
      </c>
      <c r="N14" s="11"/>
      <c r="Q14" s="19" t="s">
        <v>105</v>
      </c>
      <c r="R14" s="78">
        <f>+R12*R13*(R10-R11)/R10</f>
        <v>0.22049999999999997</v>
      </c>
      <c r="S14" s="11"/>
      <c r="V14" s="19" t="s">
        <v>107</v>
      </c>
      <c r="W14" s="78">
        <f>+W12*W13*(W10-W11)/W10</f>
        <v>7.3499999999999996E-2</v>
      </c>
      <c r="X14" s="11"/>
      <c r="AA14" s="19" t="s">
        <v>46</v>
      </c>
      <c r="AB14" s="78">
        <f>+IF(AB9=0,0,(SUM(AB11:AD11)-SUM(AB13:AD13))/SUM(AB11:AD11))</f>
        <v>0</v>
      </c>
      <c r="AC14" s="11"/>
      <c r="AF14" s="19"/>
      <c r="AG14" s="78"/>
      <c r="AH14" s="11"/>
    </row>
    <row r="15" spans="1:36" ht="3" customHeight="1" x14ac:dyDescent="0.3">
      <c r="A15" s="5"/>
      <c r="B15" s="23"/>
      <c r="C15" s="74"/>
      <c r="I15" s="8"/>
      <c r="J15" s="10"/>
      <c r="L15" s="5"/>
      <c r="M15" s="11"/>
      <c r="N15" s="11"/>
      <c r="O15" s="10"/>
      <c r="Q15" s="5"/>
      <c r="R15" s="11"/>
      <c r="S15" s="11"/>
      <c r="T15" s="10"/>
      <c r="V15" s="5"/>
      <c r="W15" s="11"/>
      <c r="X15" s="11"/>
      <c r="Y15" s="10"/>
      <c r="AA15" s="5"/>
      <c r="AB15" s="11"/>
      <c r="AC15" s="11"/>
      <c r="AD15" s="10"/>
      <c r="AF15" s="5"/>
      <c r="AG15" s="11"/>
      <c r="AH15" s="11"/>
      <c r="AI15" s="10"/>
    </row>
    <row r="16" spans="1:36" s="15" customFormat="1" x14ac:dyDescent="0.3">
      <c r="A16" s="5"/>
      <c r="B16" s="23" t="s">
        <v>94</v>
      </c>
      <c r="C16" s="68" t="s">
        <v>97</v>
      </c>
      <c r="D16" s="69" t="s">
        <v>93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6.2" x14ac:dyDescent="0.3">
      <c r="A17" s="5"/>
      <c r="B17" s="5" t="s">
        <v>91</v>
      </c>
      <c r="C17" s="73">
        <f>+C5*(1-C14)</f>
        <v>14.699218714273151</v>
      </c>
      <c r="D17" s="70">
        <v>25</v>
      </c>
      <c r="E17" t="s">
        <v>20</v>
      </c>
    </row>
    <row r="18" spans="1:36" x14ac:dyDescent="0.3">
      <c r="A18" s="5"/>
      <c r="B18" s="5" t="s">
        <v>92</v>
      </c>
      <c r="C18" s="71">
        <f>+(C17*$C$2/1000)+$C$4</f>
        <v>80.143444799999997</v>
      </c>
      <c r="D18" s="72">
        <f>+(D17*$C$2/1000)+$C$4</f>
        <v>115.2825</v>
      </c>
      <c r="E18" t="s">
        <v>21</v>
      </c>
    </row>
    <row r="19" spans="1:36" ht="3" customHeight="1" x14ac:dyDescent="0.3">
      <c r="A19" s="5"/>
      <c r="B19" s="23"/>
      <c r="C19" s="74"/>
      <c r="I19" s="8"/>
      <c r="J19" s="10"/>
      <c r="N19" s="8"/>
      <c r="O19" s="10"/>
      <c r="S19" s="8"/>
      <c r="T19" s="10"/>
      <c r="X19" s="8"/>
      <c r="Y19" s="10"/>
      <c r="AC19" s="8"/>
      <c r="AD19" s="10"/>
      <c r="AH19" s="8"/>
      <c r="AI19" s="10"/>
    </row>
    <row r="20" spans="1:36" x14ac:dyDescent="0.3">
      <c r="B20" s="310" t="s">
        <v>80</v>
      </c>
      <c r="C20" s="310"/>
      <c r="D20" s="310"/>
      <c r="E20" s="310"/>
      <c r="F20" s="75"/>
      <c r="G20" s="305" t="s">
        <v>32</v>
      </c>
      <c r="H20" s="305"/>
      <c r="I20" s="305"/>
      <c r="J20" s="305"/>
      <c r="K20" s="75"/>
      <c r="L20" s="315" t="s">
        <v>45</v>
      </c>
      <c r="M20" s="315"/>
      <c r="N20" s="315"/>
      <c r="O20" s="315"/>
      <c r="P20" s="75"/>
      <c r="Q20" s="316" t="s">
        <v>13</v>
      </c>
      <c r="R20" s="316"/>
      <c r="S20" s="316"/>
      <c r="T20" s="316"/>
      <c r="U20" s="75"/>
      <c r="V20" s="317" t="s">
        <v>14</v>
      </c>
      <c r="W20" s="317"/>
      <c r="X20" s="317"/>
      <c r="Y20" s="317"/>
      <c r="Z20" s="75"/>
      <c r="AA20" s="312" t="s">
        <v>111</v>
      </c>
      <c r="AB20" s="312"/>
      <c r="AC20" s="312"/>
      <c r="AD20" s="312"/>
      <c r="AE20" s="75"/>
      <c r="AF20" s="313" t="s">
        <v>15</v>
      </c>
      <c r="AG20" s="313"/>
      <c r="AH20" s="313"/>
      <c r="AI20" s="313"/>
      <c r="AJ20" s="75"/>
    </row>
    <row r="21" spans="1:36" x14ac:dyDescent="0.3">
      <c r="B21" s="21" t="s">
        <v>0</v>
      </c>
      <c r="C21" s="21" t="s">
        <v>87</v>
      </c>
      <c r="D21" s="21" t="s">
        <v>88</v>
      </c>
      <c r="E21" s="21" t="s">
        <v>89</v>
      </c>
      <c r="F21" s="21"/>
      <c r="G21" s="21" t="s">
        <v>0</v>
      </c>
      <c r="H21" s="21" t="s">
        <v>87</v>
      </c>
      <c r="I21" s="21" t="s">
        <v>88</v>
      </c>
      <c r="J21" s="21" t="s">
        <v>89</v>
      </c>
      <c r="K21" s="21"/>
      <c r="L21" s="21" t="s">
        <v>0</v>
      </c>
      <c r="M21" s="21" t="s">
        <v>87</v>
      </c>
      <c r="N21" s="21" t="s">
        <v>88</v>
      </c>
      <c r="O21" s="21" t="s">
        <v>89</v>
      </c>
      <c r="P21" s="21"/>
      <c r="Q21" s="21" t="s">
        <v>0</v>
      </c>
      <c r="R21" s="21" t="s">
        <v>87</v>
      </c>
      <c r="S21" s="21" t="s">
        <v>88</v>
      </c>
      <c r="T21" s="21" t="s">
        <v>89</v>
      </c>
      <c r="U21" s="21"/>
      <c r="V21" s="21" t="s">
        <v>0</v>
      </c>
      <c r="W21" s="21" t="s">
        <v>87</v>
      </c>
      <c r="X21" s="21" t="s">
        <v>88</v>
      </c>
      <c r="Y21" s="21" t="s">
        <v>89</v>
      </c>
      <c r="Z21" s="21"/>
      <c r="AA21" s="21" t="s">
        <v>0</v>
      </c>
      <c r="AB21" s="21" t="s">
        <v>114</v>
      </c>
      <c r="AC21" s="21" t="s">
        <v>88</v>
      </c>
      <c r="AD21" s="21" t="s">
        <v>89</v>
      </c>
      <c r="AE21" s="21"/>
      <c r="AF21" s="21" t="s">
        <v>0</v>
      </c>
      <c r="AG21" s="21" t="s">
        <v>87</v>
      </c>
      <c r="AH21" s="21" t="s">
        <v>88</v>
      </c>
      <c r="AI21" s="21" t="s">
        <v>89</v>
      </c>
      <c r="AJ21" s="21"/>
    </row>
    <row r="22" spans="1:36" x14ac:dyDescent="0.3">
      <c r="B22" s="12" t="s">
        <v>171</v>
      </c>
      <c r="C22" s="65">
        <v>1</v>
      </c>
      <c r="D22" s="25">
        <v>500</v>
      </c>
      <c r="E22" s="64">
        <f t="shared" ref="E22:E34" si="3">+D22*C22</f>
        <v>500</v>
      </c>
      <c r="F22" s="64"/>
      <c r="G22" s="76" t="s">
        <v>234</v>
      </c>
      <c r="H22" s="65">
        <v>1</v>
      </c>
      <c r="I22" s="25">
        <f>+Riello!D31</f>
        <v>3700</v>
      </c>
      <c r="J22" s="64">
        <f>+I22*H22</f>
        <v>3700</v>
      </c>
      <c r="K22" s="64"/>
      <c r="L22" s="12" t="s">
        <v>102</v>
      </c>
      <c r="M22" s="65">
        <v>1</v>
      </c>
      <c r="N22" s="25"/>
      <c r="O22" s="64">
        <f>+N22*M22</f>
        <v>0</v>
      </c>
      <c r="P22" s="64"/>
      <c r="Q22" s="12" t="s">
        <v>102</v>
      </c>
      <c r="R22" s="65">
        <v>1</v>
      </c>
      <c r="S22" s="25"/>
      <c r="T22" s="64">
        <f>+S22*R22</f>
        <v>0</v>
      </c>
      <c r="U22" s="64"/>
      <c r="V22" s="12" t="s">
        <v>102</v>
      </c>
      <c r="W22" s="65">
        <v>1</v>
      </c>
      <c r="X22" s="25"/>
      <c r="Y22" s="64">
        <f>+X22*W22</f>
        <v>0</v>
      </c>
      <c r="Z22" s="64"/>
      <c r="AA22" s="12" t="s">
        <v>51</v>
      </c>
      <c r="AB22" s="65">
        <v>0</v>
      </c>
      <c r="AC22" s="84">
        <v>10</v>
      </c>
      <c r="AD22" s="64">
        <f>+AC22*AB22</f>
        <v>0</v>
      </c>
      <c r="AE22" s="64"/>
      <c r="AF22" s="76" t="s">
        <v>223</v>
      </c>
      <c r="AG22" s="65">
        <v>1</v>
      </c>
      <c r="AH22" s="25">
        <v>80</v>
      </c>
      <c r="AI22" s="64">
        <f>+AH22*AG22</f>
        <v>80</v>
      </c>
      <c r="AJ22" s="64"/>
    </row>
    <row r="23" spans="1:36" x14ac:dyDescent="0.3">
      <c r="B23" s="12" t="s">
        <v>191</v>
      </c>
      <c r="C23" s="65">
        <v>1</v>
      </c>
      <c r="D23" s="25">
        <f>+Riello!D21</f>
        <v>7300</v>
      </c>
      <c r="E23" s="64">
        <f t="shared" si="3"/>
        <v>7300</v>
      </c>
      <c r="F23" s="64"/>
      <c r="G23" s="76" t="s">
        <v>235</v>
      </c>
      <c r="H23" s="65">
        <v>1</v>
      </c>
      <c r="I23" s="25">
        <f>1937*(1-0.35)*(1-0.15)*(1+0.03)</f>
        <v>1102.2982749999999</v>
      </c>
      <c r="J23" s="64">
        <f t="shared" ref="J23:J32" si="4">+I23*H23</f>
        <v>1102.2982749999999</v>
      </c>
      <c r="K23" s="64"/>
      <c r="L23" s="76"/>
      <c r="M23" s="125">
        <f>+M8</f>
        <v>0</v>
      </c>
      <c r="N23" s="17">
        <v>60</v>
      </c>
      <c r="O23" s="64">
        <f t="shared" ref="O23:O32" si="5">+N23*M23</f>
        <v>0</v>
      </c>
      <c r="P23" s="64"/>
      <c r="Q23" s="76"/>
      <c r="R23" s="125">
        <f>+R9</f>
        <v>0</v>
      </c>
      <c r="S23" s="17">
        <v>60</v>
      </c>
      <c r="T23" s="64">
        <f t="shared" ref="T23:T32" si="6">+S23*R23</f>
        <v>0</v>
      </c>
      <c r="U23" s="64"/>
      <c r="V23" s="76"/>
      <c r="W23" s="125">
        <f>+W9</f>
        <v>0</v>
      </c>
      <c r="X23" s="17">
        <v>400</v>
      </c>
      <c r="Y23" s="64">
        <f t="shared" ref="Y23:Y32" si="7">+X23*W23</f>
        <v>0</v>
      </c>
      <c r="Z23" s="64"/>
      <c r="AA23" s="12" t="s">
        <v>52</v>
      </c>
      <c r="AB23" s="65"/>
      <c r="AC23" s="84">
        <v>120</v>
      </c>
      <c r="AD23" s="64">
        <f t="shared" ref="AD23:AD32" si="8">+AC23*AB23</f>
        <v>0</v>
      </c>
      <c r="AE23" s="64"/>
      <c r="AF23" s="76" t="s">
        <v>224</v>
      </c>
      <c r="AG23" s="65">
        <v>1</v>
      </c>
      <c r="AH23" s="25">
        <v>80</v>
      </c>
      <c r="AI23" s="64">
        <f t="shared" ref="AI23:AI32" si="9">+AH23*AG23</f>
        <v>80</v>
      </c>
      <c r="AJ23" s="64"/>
    </row>
    <row r="24" spans="1:36" x14ac:dyDescent="0.3">
      <c r="B24" s="12" t="s">
        <v>195</v>
      </c>
      <c r="C24" s="65">
        <v>2</v>
      </c>
      <c r="D24" s="25">
        <f>+Grundfos!F12</f>
        <v>600</v>
      </c>
      <c r="E24" s="64">
        <f t="shared" si="3"/>
        <v>1200</v>
      </c>
      <c r="F24" s="64"/>
      <c r="G24" s="76" t="s">
        <v>236</v>
      </c>
      <c r="H24" s="65">
        <v>1</v>
      </c>
      <c r="I24" s="25">
        <v>500</v>
      </c>
      <c r="J24" s="64">
        <f t="shared" si="4"/>
        <v>500</v>
      </c>
      <c r="K24" s="64"/>
      <c r="L24" s="76"/>
      <c r="M24" s="65"/>
      <c r="N24" s="25"/>
      <c r="O24" s="64">
        <f t="shared" si="5"/>
        <v>0</v>
      </c>
      <c r="P24" s="64"/>
      <c r="Q24" s="76"/>
      <c r="R24" s="65"/>
      <c r="S24" s="25"/>
      <c r="T24" s="64">
        <f t="shared" si="6"/>
        <v>0</v>
      </c>
      <c r="U24" s="64"/>
      <c r="V24" s="76"/>
      <c r="W24" s="65"/>
      <c r="X24" s="25"/>
      <c r="Y24" s="64">
        <f t="shared" si="7"/>
        <v>0</v>
      </c>
      <c r="Z24" s="64"/>
      <c r="AA24" s="76"/>
      <c r="AB24" s="65"/>
      <c r="AC24" s="25"/>
      <c r="AD24" s="64">
        <f t="shared" si="8"/>
        <v>0</v>
      </c>
      <c r="AE24" s="64"/>
      <c r="AF24" s="76" t="s">
        <v>225</v>
      </c>
      <c r="AG24" s="65">
        <v>4</v>
      </c>
      <c r="AH24" s="25">
        <v>10</v>
      </c>
      <c r="AI24" s="64">
        <f t="shared" si="9"/>
        <v>40</v>
      </c>
      <c r="AJ24" s="64"/>
    </row>
    <row r="25" spans="1:36" x14ac:dyDescent="0.3">
      <c r="B25" s="12" t="s">
        <v>185</v>
      </c>
      <c r="C25" s="65">
        <v>1</v>
      </c>
      <c r="D25" s="25">
        <v>1000</v>
      </c>
      <c r="E25" s="64">
        <f t="shared" si="3"/>
        <v>1000</v>
      </c>
      <c r="F25" s="64"/>
      <c r="G25" s="76"/>
      <c r="H25" s="65"/>
      <c r="I25" s="25"/>
      <c r="J25" s="64">
        <f t="shared" si="4"/>
        <v>0</v>
      </c>
      <c r="K25" s="64"/>
      <c r="L25" s="76"/>
      <c r="M25" s="65"/>
      <c r="N25" s="25"/>
      <c r="O25" s="64">
        <f t="shared" si="5"/>
        <v>0</v>
      </c>
      <c r="P25" s="64"/>
      <c r="Q25" s="76"/>
      <c r="R25" s="65"/>
      <c r="S25" s="25"/>
      <c r="T25" s="64">
        <f t="shared" si="6"/>
        <v>0</v>
      </c>
      <c r="U25" s="64"/>
      <c r="V25" s="76"/>
      <c r="W25" s="65"/>
      <c r="X25" s="25"/>
      <c r="Y25" s="64">
        <f t="shared" si="7"/>
        <v>0</v>
      </c>
      <c r="Z25" s="64"/>
      <c r="AA25" s="76"/>
      <c r="AB25" s="65"/>
      <c r="AC25" s="25"/>
      <c r="AD25" s="64">
        <f t="shared" si="8"/>
        <v>0</v>
      </c>
      <c r="AE25" s="64"/>
      <c r="AF25" s="76" t="s">
        <v>226</v>
      </c>
      <c r="AG25" s="65">
        <v>1</v>
      </c>
      <c r="AH25" s="25">
        <v>500</v>
      </c>
      <c r="AI25" s="64">
        <f t="shared" si="9"/>
        <v>500</v>
      </c>
      <c r="AJ25" s="64"/>
    </row>
    <row r="26" spans="1:36" x14ac:dyDescent="0.3">
      <c r="B26" s="12" t="s">
        <v>186</v>
      </c>
      <c r="C26" s="65">
        <v>1</v>
      </c>
      <c r="D26" s="25">
        <v>1000</v>
      </c>
      <c r="E26" s="64">
        <f t="shared" si="3"/>
        <v>1000</v>
      </c>
      <c r="F26" s="64"/>
      <c r="G26" s="76"/>
      <c r="H26" s="65"/>
      <c r="I26" s="25"/>
      <c r="J26" s="64">
        <f t="shared" si="4"/>
        <v>0</v>
      </c>
      <c r="K26" s="64"/>
      <c r="L26" s="76"/>
      <c r="M26" s="65"/>
      <c r="N26" s="25"/>
      <c r="O26" s="64">
        <f t="shared" si="5"/>
        <v>0</v>
      </c>
      <c r="P26" s="64"/>
      <c r="Q26" s="76"/>
      <c r="R26" s="65"/>
      <c r="S26" s="25"/>
      <c r="T26" s="64">
        <f t="shared" si="6"/>
        <v>0</v>
      </c>
      <c r="U26" s="64"/>
      <c r="V26" s="76"/>
      <c r="W26" s="65"/>
      <c r="X26" s="25"/>
      <c r="Y26" s="64">
        <f t="shared" si="7"/>
        <v>0</v>
      </c>
      <c r="Z26" s="64"/>
      <c r="AA26" s="76"/>
      <c r="AB26" s="65"/>
      <c r="AC26" s="25"/>
      <c r="AD26" s="64">
        <f t="shared" si="8"/>
        <v>0</v>
      </c>
      <c r="AE26" s="64"/>
      <c r="AF26" s="76"/>
      <c r="AG26" s="65"/>
      <c r="AH26" s="25"/>
      <c r="AI26" s="64">
        <f t="shared" si="9"/>
        <v>0</v>
      </c>
      <c r="AJ26" s="64"/>
    </row>
    <row r="27" spans="1:36" x14ac:dyDescent="0.3">
      <c r="B27" s="12" t="s">
        <v>196</v>
      </c>
      <c r="C27" s="65">
        <v>1</v>
      </c>
      <c r="D27" s="25">
        <v>1500</v>
      </c>
      <c r="E27" s="64">
        <f t="shared" si="3"/>
        <v>1500</v>
      </c>
      <c r="F27" s="64"/>
      <c r="G27" s="76"/>
      <c r="H27" s="65"/>
      <c r="I27" s="25"/>
      <c r="J27" s="64">
        <f t="shared" si="4"/>
        <v>0</v>
      </c>
      <c r="K27" s="64"/>
      <c r="L27" s="76"/>
      <c r="M27" s="65"/>
      <c r="N27" s="25"/>
      <c r="O27" s="64">
        <f t="shared" si="5"/>
        <v>0</v>
      </c>
      <c r="P27" s="64"/>
      <c r="Q27" s="76"/>
      <c r="R27" s="65"/>
      <c r="S27" s="25"/>
      <c r="T27" s="64">
        <f t="shared" si="6"/>
        <v>0</v>
      </c>
      <c r="U27" s="64"/>
      <c r="V27" s="76"/>
      <c r="W27" s="65"/>
      <c r="X27" s="25"/>
      <c r="Y27" s="64">
        <f t="shared" si="7"/>
        <v>0</v>
      </c>
      <c r="Z27" s="64"/>
      <c r="AA27" s="76"/>
      <c r="AB27" s="65"/>
      <c r="AC27" s="25"/>
      <c r="AD27" s="64">
        <f t="shared" si="8"/>
        <v>0</v>
      </c>
      <c r="AE27" s="64"/>
      <c r="AF27" s="76"/>
      <c r="AG27" s="65"/>
      <c r="AH27" s="25"/>
      <c r="AI27" s="64">
        <f t="shared" si="9"/>
        <v>0</v>
      </c>
      <c r="AJ27" s="64"/>
    </row>
    <row r="28" spans="1:36" x14ac:dyDescent="0.3">
      <c r="B28" s="76" t="s">
        <v>197</v>
      </c>
      <c r="C28" s="65">
        <v>1</v>
      </c>
      <c r="D28" s="25">
        <v>1500</v>
      </c>
      <c r="E28" s="64">
        <f t="shared" si="3"/>
        <v>1500</v>
      </c>
      <c r="F28" s="64"/>
      <c r="G28" s="76"/>
      <c r="H28" s="65"/>
      <c r="I28" s="25"/>
      <c r="J28" s="64">
        <f t="shared" si="4"/>
        <v>0</v>
      </c>
      <c r="K28" s="64"/>
      <c r="L28" s="76"/>
      <c r="M28" s="65"/>
      <c r="N28" s="25"/>
      <c r="O28" s="64">
        <f t="shared" si="5"/>
        <v>0</v>
      </c>
      <c r="P28" s="64"/>
      <c r="Q28" s="76"/>
      <c r="R28" s="65"/>
      <c r="S28" s="25"/>
      <c r="T28" s="64">
        <f t="shared" si="6"/>
        <v>0</v>
      </c>
      <c r="U28" s="64"/>
      <c r="V28" s="76"/>
      <c r="W28" s="65"/>
      <c r="X28" s="25"/>
      <c r="Y28" s="64">
        <f t="shared" si="7"/>
        <v>0</v>
      </c>
      <c r="Z28" s="64"/>
      <c r="AA28" s="76"/>
      <c r="AB28" s="65"/>
      <c r="AC28" s="25"/>
      <c r="AD28" s="64">
        <f t="shared" si="8"/>
        <v>0</v>
      </c>
      <c r="AE28" s="64"/>
      <c r="AF28" s="76"/>
      <c r="AG28" s="65"/>
      <c r="AH28" s="25"/>
      <c r="AI28" s="64">
        <f t="shared" si="9"/>
        <v>0</v>
      </c>
      <c r="AJ28" s="64"/>
    </row>
    <row r="29" spans="1:36" x14ac:dyDescent="0.3">
      <c r="B29" s="76" t="s">
        <v>198</v>
      </c>
      <c r="C29" s="65">
        <v>1</v>
      </c>
      <c r="D29" s="25">
        <v>1000</v>
      </c>
      <c r="E29" s="64">
        <f t="shared" si="3"/>
        <v>1000</v>
      </c>
      <c r="F29" s="64"/>
      <c r="G29" s="76"/>
      <c r="H29" s="65"/>
      <c r="I29" s="25"/>
      <c r="J29" s="64">
        <f t="shared" si="4"/>
        <v>0</v>
      </c>
      <c r="K29" s="64"/>
      <c r="L29" s="76"/>
      <c r="M29" s="65"/>
      <c r="N29" s="25"/>
      <c r="O29" s="64">
        <f t="shared" si="5"/>
        <v>0</v>
      </c>
      <c r="P29" s="64"/>
      <c r="Q29" s="76"/>
      <c r="R29" s="65"/>
      <c r="S29" s="25"/>
      <c r="T29" s="64">
        <f t="shared" si="6"/>
        <v>0</v>
      </c>
      <c r="U29" s="64"/>
      <c r="V29" s="76"/>
      <c r="W29" s="65"/>
      <c r="X29" s="25"/>
      <c r="Y29" s="64">
        <f t="shared" si="7"/>
        <v>0</v>
      </c>
      <c r="Z29" s="64"/>
      <c r="AA29" s="76"/>
      <c r="AB29" s="65"/>
      <c r="AC29" s="25"/>
      <c r="AD29" s="64">
        <f t="shared" si="8"/>
        <v>0</v>
      </c>
      <c r="AE29" s="64"/>
      <c r="AF29" s="76"/>
      <c r="AG29" s="65"/>
      <c r="AH29" s="25"/>
      <c r="AI29" s="64">
        <f t="shared" si="9"/>
        <v>0</v>
      </c>
      <c r="AJ29" s="64"/>
    </row>
    <row r="30" spans="1:36" x14ac:dyDescent="0.3">
      <c r="B30" s="76" t="s">
        <v>227</v>
      </c>
      <c r="C30" s="65">
        <v>1</v>
      </c>
      <c r="D30" s="25">
        <v>1500</v>
      </c>
      <c r="E30" s="64">
        <f t="shared" si="3"/>
        <v>1500</v>
      </c>
      <c r="G30" s="76"/>
      <c r="H30" s="6"/>
      <c r="J30" s="64">
        <f t="shared" si="4"/>
        <v>0</v>
      </c>
      <c r="L30" s="76"/>
      <c r="M30" s="6"/>
      <c r="N30" s="25"/>
      <c r="O30" s="64">
        <f t="shared" si="5"/>
        <v>0</v>
      </c>
      <c r="Q30" s="76"/>
      <c r="R30" s="6"/>
      <c r="S30" s="25"/>
      <c r="T30" s="64">
        <f t="shared" si="6"/>
        <v>0</v>
      </c>
      <c r="V30" s="76"/>
      <c r="W30" s="6"/>
      <c r="X30" s="25"/>
      <c r="Y30" s="64">
        <f t="shared" si="7"/>
        <v>0</v>
      </c>
      <c r="AA30" s="76"/>
      <c r="AB30" s="6"/>
      <c r="AC30" s="25"/>
      <c r="AD30" s="64">
        <f t="shared" si="8"/>
        <v>0</v>
      </c>
      <c r="AF30" s="76"/>
      <c r="AG30" s="6"/>
      <c r="AH30" s="25"/>
      <c r="AI30" s="64">
        <f t="shared" si="9"/>
        <v>0</v>
      </c>
    </row>
    <row r="31" spans="1:36" x14ac:dyDescent="0.3">
      <c r="B31" s="76" t="s">
        <v>237</v>
      </c>
      <c r="C31" s="65">
        <v>1</v>
      </c>
      <c r="D31" s="64">
        <f>+Coster!D36</f>
        <v>410</v>
      </c>
      <c r="E31" s="64">
        <f t="shared" si="3"/>
        <v>410</v>
      </c>
      <c r="G31" s="76"/>
      <c r="H31" s="65"/>
      <c r="J31" s="64">
        <f t="shared" si="4"/>
        <v>0</v>
      </c>
      <c r="L31" s="76"/>
      <c r="M31" s="65"/>
      <c r="N31" s="25"/>
      <c r="O31" s="64">
        <f t="shared" si="5"/>
        <v>0</v>
      </c>
      <c r="Q31" s="76"/>
      <c r="R31" s="65"/>
      <c r="S31" s="25"/>
      <c r="T31" s="64">
        <f t="shared" si="6"/>
        <v>0</v>
      </c>
      <c r="V31" s="76"/>
      <c r="W31" s="65"/>
      <c r="X31" s="25"/>
      <c r="Y31" s="64">
        <f t="shared" si="7"/>
        <v>0</v>
      </c>
      <c r="AA31" s="76"/>
      <c r="AB31" s="65"/>
      <c r="AC31" s="25"/>
      <c r="AD31" s="64">
        <f t="shared" si="8"/>
        <v>0</v>
      </c>
      <c r="AF31" s="76"/>
      <c r="AG31" s="65"/>
      <c r="AH31" s="25"/>
      <c r="AI31" s="64">
        <f t="shared" si="9"/>
        <v>0</v>
      </c>
    </row>
    <row r="32" spans="1:36" x14ac:dyDescent="0.3">
      <c r="B32" s="76" t="s">
        <v>453</v>
      </c>
      <c r="C32" s="65">
        <v>1</v>
      </c>
      <c r="D32" s="64">
        <f>'Contatori di energia'!E10</f>
        <v>1300</v>
      </c>
      <c r="E32" s="64">
        <f t="shared" si="3"/>
        <v>1300</v>
      </c>
      <c r="G32" s="76"/>
      <c r="J32" s="64">
        <f t="shared" si="4"/>
        <v>0</v>
      </c>
      <c r="L32" s="76"/>
      <c r="N32" s="25"/>
      <c r="O32" s="64">
        <f t="shared" si="5"/>
        <v>0</v>
      </c>
      <c r="Q32" s="76"/>
      <c r="S32" s="25"/>
      <c r="T32" s="64">
        <f t="shared" si="6"/>
        <v>0</v>
      </c>
      <c r="V32" s="76"/>
      <c r="X32" s="25"/>
      <c r="Y32" s="64">
        <f t="shared" si="7"/>
        <v>0</v>
      </c>
      <c r="AA32" s="76"/>
      <c r="AC32" s="25"/>
      <c r="AD32" s="64">
        <f t="shared" si="8"/>
        <v>0</v>
      </c>
      <c r="AF32" s="76"/>
      <c r="AH32" s="25"/>
      <c r="AI32" s="64">
        <f t="shared" si="9"/>
        <v>0</v>
      </c>
    </row>
    <row r="33" spans="1:36" s="153" customFormat="1" x14ac:dyDescent="0.3">
      <c r="B33" s="156" t="s">
        <v>271</v>
      </c>
      <c r="C33" s="65">
        <v>1</v>
      </c>
      <c r="D33" s="25">
        <v>2500</v>
      </c>
      <c r="E33" s="64">
        <f t="shared" ref="E33" si="10">+D33*C33</f>
        <v>2500</v>
      </c>
      <c r="G33" s="156"/>
      <c r="J33" s="64">
        <f t="shared" ref="J33" si="11">+I33*H33</f>
        <v>0</v>
      </c>
      <c r="L33" s="156"/>
      <c r="N33" s="25"/>
      <c r="O33" s="64"/>
      <c r="Q33" s="156"/>
      <c r="S33" s="25"/>
      <c r="T33" s="64"/>
      <c r="V33" s="156"/>
      <c r="X33" s="25"/>
      <c r="Y33" s="64"/>
      <c r="AA33" s="156"/>
      <c r="AC33" s="25"/>
      <c r="AD33" s="64"/>
      <c r="AF33" s="156"/>
      <c r="AH33" s="25"/>
      <c r="AI33" s="64">
        <f t="shared" ref="AI33" si="12">+AH33*AG33</f>
        <v>0</v>
      </c>
    </row>
    <row r="34" spans="1:36" x14ac:dyDescent="0.3">
      <c r="B34" s="12" t="s">
        <v>53</v>
      </c>
      <c r="C34" s="65">
        <v>80</v>
      </c>
      <c r="D34" s="25">
        <v>30</v>
      </c>
      <c r="E34" s="64">
        <f t="shared" si="3"/>
        <v>2400</v>
      </c>
      <c r="F34" s="64"/>
      <c r="G34" s="12" t="s">
        <v>53</v>
      </c>
      <c r="H34" s="65">
        <f>4*2*8</f>
        <v>64</v>
      </c>
      <c r="I34" s="25">
        <v>30</v>
      </c>
      <c r="J34" s="64">
        <f>+I34*H34</f>
        <v>1920</v>
      </c>
      <c r="K34" s="64"/>
      <c r="L34" s="76"/>
      <c r="M34" s="65"/>
      <c r="N34" s="25"/>
      <c r="O34" s="64">
        <f>+N34*M34</f>
        <v>0</v>
      </c>
      <c r="P34" s="64"/>
      <c r="Q34" s="76"/>
      <c r="R34" s="65"/>
      <c r="S34" s="25"/>
      <c r="T34" s="64">
        <f>+S34*R34</f>
        <v>0</v>
      </c>
      <c r="U34" s="64"/>
      <c r="V34" s="76"/>
      <c r="W34" s="65"/>
      <c r="X34" s="25"/>
      <c r="Y34" s="64">
        <f>+X34*W34</f>
        <v>0</v>
      </c>
      <c r="Z34" s="64"/>
      <c r="AA34" s="76"/>
      <c r="AB34" s="65"/>
      <c r="AC34" s="25"/>
      <c r="AD34" s="64">
        <f>+AC34*AB34</f>
        <v>0</v>
      </c>
      <c r="AE34" s="64"/>
      <c r="AF34" s="76"/>
      <c r="AG34" s="65"/>
      <c r="AH34" s="25"/>
      <c r="AI34" s="64">
        <f>+AH34*AG34</f>
        <v>0</v>
      </c>
      <c r="AJ34" s="64"/>
    </row>
    <row r="35" spans="1:36" x14ac:dyDescent="0.3">
      <c r="B35" s="13"/>
      <c r="C35" s="66"/>
      <c r="D35" s="67"/>
      <c r="E35" s="64">
        <f>SUM(E22:E34)*D35</f>
        <v>0</v>
      </c>
      <c r="F35" s="64"/>
      <c r="G35" s="13" t="s">
        <v>90</v>
      </c>
      <c r="H35" s="66"/>
      <c r="I35" s="67"/>
      <c r="J35" s="64">
        <f>SUM(J22:J34)*I35</f>
        <v>0</v>
      </c>
      <c r="K35" s="64"/>
      <c r="L35" s="13" t="s">
        <v>90</v>
      </c>
      <c r="M35" s="66">
        <v>1</v>
      </c>
      <c r="N35" s="67">
        <v>0.05</v>
      </c>
      <c r="O35" s="64">
        <f>SUM(O22:O34)*N35</f>
        <v>0</v>
      </c>
      <c r="P35" s="64"/>
      <c r="Q35" s="13" t="s">
        <v>90</v>
      </c>
      <c r="R35" s="66">
        <v>1</v>
      </c>
      <c r="S35" s="67">
        <v>0.05</v>
      </c>
      <c r="T35" s="64">
        <f>SUM(T22:T34)*S35</f>
        <v>0</v>
      </c>
      <c r="U35" s="64"/>
      <c r="V35" s="13" t="s">
        <v>90</v>
      </c>
      <c r="W35" s="66">
        <v>1</v>
      </c>
      <c r="X35" s="67">
        <v>0.05</v>
      </c>
      <c r="Y35" s="64">
        <f>SUM(Y22:Y34)*X35</f>
        <v>0</v>
      </c>
      <c r="Z35" s="64"/>
      <c r="AA35" s="13" t="s">
        <v>90</v>
      </c>
      <c r="AB35" s="66">
        <v>1</v>
      </c>
      <c r="AC35" s="67">
        <v>0.05</v>
      </c>
      <c r="AD35" s="64">
        <f>SUM(AD22:AD34)*AC35</f>
        <v>0</v>
      </c>
      <c r="AE35" s="64"/>
      <c r="AF35" s="13"/>
      <c r="AG35" s="66"/>
      <c r="AH35" s="67"/>
      <c r="AI35" s="64">
        <f>SUM(AI22:AI34)*AH35</f>
        <v>0</v>
      </c>
      <c r="AJ35" s="64"/>
    </row>
    <row r="36" spans="1:36" x14ac:dyDescent="0.3">
      <c r="B36" s="13" t="s">
        <v>23</v>
      </c>
      <c r="C36" s="66">
        <v>1</v>
      </c>
      <c r="D36" s="25">
        <v>500</v>
      </c>
      <c r="E36" s="64">
        <f>+D36*C36</f>
        <v>500</v>
      </c>
      <c r="F36" s="64"/>
      <c r="G36" s="13" t="s">
        <v>23</v>
      </c>
      <c r="H36" s="66">
        <v>1</v>
      </c>
      <c r="I36" s="25">
        <v>0</v>
      </c>
      <c r="J36" s="64">
        <f>+I36*H36</f>
        <v>0</v>
      </c>
      <c r="K36" s="64"/>
      <c r="L36" s="13" t="s">
        <v>23</v>
      </c>
      <c r="M36" s="66">
        <v>1</v>
      </c>
      <c r="N36" s="25">
        <v>0</v>
      </c>
      <c r="O36" s="64">
        <f>+N36*M36</f>
        <v>0</v>
      </c>
      <c r="P36" s="64"/>
      <c r="Q36" s="13" t="s">
        <v>23</v>
      </c>
      <c r="R36" s="66">
        <v>1</v>
      </c>
      <c r="S36" s="25">
        <v>0</v>
      </c>
      <c r="T36" s="64">
        <f>+S36*R36</f>
        <v>0</v>
      </c>
      <c r="U36" s="64"/>
      <c r="V36" s="13" t="s">
        <v>23</v>
      </c>
      <c r="W36" s="66">
        <v>1</v>
      </c>
      <c r="X36" s="25">
        <v>0</v>
      </c>
      <c r="Y36" s="64">
        <f>+X36*W36</f>
        <v>0</v>
      </c>
      <c r="Z36" s="64"/>
      <c r="AA36" s="13" t="s">
        <v>23</v>
      </c>
      <c r="AB36" s="66">
        <v>1</v>
      </c>
      <c r="AC36" s="25">
        <v>0</v>
      </c>
      <c r="AD36" s="64">
        <f>+AC36*AB36</f>
        <v>0</v>
      </c>
      <c r="AE36" s="64"/>
      <c r="AF36" s="13" t="s">
        <v>23</v>
      </c>
      <c r="AG36" s="66">
        <v>1</v>
      </c>
      <c r="AH36" s="25">
        <v>0</v>
      </c>
      <c r="AI36" s="64">
        <f>+AH36*AG36</f>
        <v>0</v>
      </c>
      <c r="AJ36" s="64"/>
    </row>
    <row r="37" spans="1:36" x14ac:dyDescent="0.3">
      <c r="B37" s="304" t="s">
        <v>22</v>
      </c>
      <c r="C37" s="304"/>
      <c r="D37" s="304"/>
      <c r="E37" s="26">
        <f>SUM(E22:E36)</f>
        <v>23610</v>
      </c>
      <c r="F37" s="26"/>
      <c r="G37" s="304" t="s">
        <v>22</v>
      </c>
      <c r="H37" s="304"/>
      <c r="I37" s="304"/>
      <c r="J37" s="26">
        <f>SUM(J22:J36)</f>
        <v>7222.2982750000001</v>
      </c>
      <c r="K37" s="26"/>
      <c r="L37" s="304" t="s">
        <v>22</v>
      </c>
      <c r="M37" s="304"/>
      <c r="N37" s="304"/>
      <c r="O37" s="26">
        <f>SUM(O22:O36)</f>
        <v>0</v>
      </c>
      <c r="P37" s="26"/>
      <c r="Q37" s="304" t="s">
        <v>22</v>
      </c>
      <c r="R37" s="304"/>
      <c r="S37" s="304"/>
      <c r="T37" s="26">
        <f>SUM(T22:T36)</f>
        <v>0</v>
      </c>
      <c r="U37" s="26"/>
      <c r="V37" s="304" t="s">
        <v>22</v>
      </c>
      <c r="W37" s="304"/>
      <c r="X37" s="304"/>
      <c r="Y37" s="26">
        <f>SUM(Y22:Y36)</f>
        <v>0</v>
      </c>
      <c r="Z37" s="26"/>
      <c r="AA37" s="304" t="s">
        <v>22</v>
      </c>
      <c r="AB37" s="304"/>
      <c r="AC37" s="304"/>
      <c r="AD37" s="26">
        <f>SUM(AD22:AD36)</f>
        <v>0</v>
      </c>
      <c r="AE37" s="26"/>
      <c r="AF37" s="304" t="s">
        <v>22</v>
      </c>
      <c r="AG37" s="304"/>
      <c r="AH37" s="304"/>
      <c r="AI37" s="26">
        <f>SUM(AI22:AI36)</f>
        <v>700</v>
      </c>
      <c r="AJ37" s="26"/>
    </row>
    <row r="38" spans="1:36" ht="3" customHeight="1" x14ac:dyDescent="0.3">
      <c r="A38" s="5"/>
      <c r="B38" s="23"/>
      <c r="C38" s="74"/>
      <c r="I38" s="8"/>
      <c r="J38" s="10"/>
      <c r="N38" s="8"/>
      <c r="O38" s="10"/>
      <c r="S38" s="8"/>
      <c r="T38" s="10"/>
      <c r="X38" s="8"/>
      <c r="Y38" s="10"/>
      <c r="AC38" s="8"/>
      <c r="AD38" s="10"/>
      <c r="AH38" s="8"/>
      <c r="AI38" s="10"/>
    </row>
    <row r="39" spans="1:36" x14ac:dyDescent="0.3">
      <c r="B39" s="311" t="s">
        <v>33</v>
      </c>
      <c r="C39" s="311"/>
      <c r="D39" s="311"/>
      <c r="E39" s="311"/>
    </row>
    <row r="40" spans="1:36" x14ac:dyDescent="0.3">
      <c r="B40" s="21" t="s">
        <v>0</v>
      </c>
      <c r="C40" s="21" t="s">
        <v>87</v>
      </c>
      <c r="D40" s="21" t="s">
        <v>88</v>
      </c>
      <c r="E40" s="21" t="s">
        <v>89</v>
      </c>
    </row>
    <row r="41" spans="1:36" x14ac:dyDescent="0.3">
      <c r="B41" s="76" t="s">
        <v>199</v>
      </c>
      <c r="C41" s="65">
        <v>52</v>
      </c>
      <c r="D41" s="25">
        <v>50</v>
      </c>
      <c r="E41" s="64">
        <f t="shared" ref="E41:E47" si="13">+D41*C41</f>
        <v>2600</v>
      </c>
    </row>
    <row r="42" spans="1:36" x14ac:dyDescent="0.3">
      <c r="A42" s="24"/>
      <c r="B42" s="76"/>
      <c r="C42" s="65"/>
      <c r="D42" s="25"/>
      <c r="E42" s="64">
        <f t="shared" si="13"/>
        <v>0</v>
      </c>
      <c r="AH42" s="65"/>
    </row>
    <row r="43" spans="1:36" x14ac:dyDescent="0.3">
      <c r="A43" s="24"/>
      <c r="B43" s="12"/>
      <c r="C43" s="65"/>
      <c r="D43" s="25"/>
      <c r="E43" s="64">
        <f t="shared" si="13"/>
        <v>0</v>
      </c>
      <c r="AH43" s="65"/>
    </row>
    <row r="44" spans="1:36" x14ac:dyDescent="0.3">
      <c r="A44" s="24"/>
      <c r="B44" s="76"/>
      <c r="C44" s="65"/>
      <c r="D44" s="25"/>
      <c r="E44" s="64">
        <f t="shared" si="13"/>
        <v>0</v>
      </c>
      <c r="AH44" s="65"/>
    </row>
    <row r="45" spans="1:36" x14ac:dyDescent="0.3">
      <c r="B45" s="76"/>
      <c r="C45" s="65"/>
      <c r="D45" s="25"/>
      <c r="E45" s="64">
        <f t="shared" si="13"/>
        <v>0</v>
      </c>
      <c r="AH45" s="65"/>
    </row>
    <row r="46" spans="1:36" x14ac:dyDescent="0.3">
      <c r="B46" s="76"/>
      <c r="C46" s="65"/>
      <c r="D46" s="25"/>
      <c r="E46" s="64">
        <f t="shared" si="13"/>
        <v>0</v>
      </c>
      <c r="AH46" s="65"/>
    </row>
    <row r="47" spans="1:36" x14ac:dyDescent="0.3">
      <c r="B47" s="12" t="s">
        <v>53</v>
      </c>
      <c r="C47" s="65"/>
      <c r="D47" s="25">
        <v>30</v>
      </c>
      <c r="E47" s="64">
        <f t="shared" si="13"/>
        <v>0</v>
      </c>
      <c r="AH47" s="65"/>
    </row>
    <row r="48" spans="1:36" x14ac:dyDescent="0.3">
      <c r="B48" s="13" t="s">
        <v>90</v>
      </c>
      <c r="C48" s="65"/>
      <c r="D48" s="67"/>
      <c r="E48" s="64">
        <f>SUM(E39:E47)*D48</f>
        <v>0</v>
      </c>
      <c r="AH48" s="65"/>
    </row>
    <row r="49" spans="1:35" x14ac:dyDescent="0.3">
      <c r="B49" s="13" t="s">
        <v>23</v>
      </c>
      <c r="D49" s="25">
        <v>0</v>
      </c>
      <c r="E49" s="64">
        <f>+D49*C49</f>
        <v>0</v>
      </c>
      <c r="AH49" s="65"/>
    </row>
    <row r="50" spans="1:35" x14ac:dyDescent="0.3">
      <c r="B50" s="304" t="s">
        <v>22</v>
      </c>
      <c r="C50" s="304"/>
      <c r="D50" s="304"/>
      <c r="E50" s="26">
        <f>SUM(E39:E49)</f>
        <v>2600</v>
      </c>
      <c r="AH50" s="6"/>
    </row>
    <row r="51" spans="1:35" ht="3" customHeight="1" x14ac:dyDescent="0.3">
      <c r="A51" s="5"/>
      <c r="B51" s="23"/>
      <c r="C51" s="74"/>
      <c r="I51" s="8"/>
      <c r="J51" s="10"/>
      <c r="N51" s="8"/>
      <c r="O51" s="10"/>
      <c r="S51" s="8"/>
      <c r="T51" s="10"/>
      <c r="X51" s="8"/>
      <c r="Y51" s="10"/>
      <c r="AC51" s="8"/>
      <c r="AD51" s="10"/>
      <c r="AH51" s="65"/>
      <c r="AI51" s="10"/>
    </row>
    <row r="52" spans="1:35" x14ac:dyDescent="0.3">
      <c r="B52" s="303" t="s">
        <v>12</v>
      </c>
      <c r="C52" s="303"/>
      <c r="D52" s="303"/>
      <c r="E52" s="303"/>
    </row>
    <row r="53" spans="1:35" x14ac:dyDescent="0.3">
      <c r="A53" s="24"/>
      <c r="B53" s="21" t="s">
        <v>0</v>
      </c>
      <c r="C53" s="21" t="s">
        <v>87</v>
      </c>
      <c r="D53" s="21" t="s">
        <v>88</v>
      </c>
      <c r="E53" s="21" t="s">
        <v>89</v>
      </c>
      <c r="AH53" s="65"/>
    </row>
    <row r="54" spans="1:35" x14ac:dyDescent="0.3">
      <c r="A54" s="24"/>
      <c r="B54" s="12" t="s">
        <v>200</v>
      </c>
      <c r="C54" s="65">
        <v>1</v>
      </c>
      <c r="D54" s="25">
        <f>VLOOKUP(B54,Coster!$B$5:$D$43,3,FALSE)</f>
        <v>630</v>
      </c>
      <c r="E54" s="64">
        <f t="shared" ref="E54:E64" si="14">+D54*C54</f>
        <v>630</v>
      </c>
      <c r="AH54" s="66"/>
    </row>
    <row r="55" spans="1:35" x14ac:dyDescent="0.3">
      <c r="B55" s="76" t="s">
        <v>220</v>
      </c>
      <c r="C55" s="65">
        <v>1</v>
      </c>
      <c r="D55" s="25">
        <f>VLOOKUP(B55,Coster!$B$5:$D$43,3,FALSE)</f>
        <v>310</v>
      </c>
      <c r="E55" s="64">
        <f t="shared" si="14"/>
        <v>310</v>
      </c>
      <c r="AH55" s="66"/>
    </row>
    <row r="56" spans="1:35" x14ac:dyDescent="0.3">
      <c r="B56" s="76" t="s">
        <v>221</v>
      </c>
      <c r="C56" s="65">
        <v>1</v>
      </c>
      <c r="D56" s="25">
        <f>VLOOKUP(B56,Coster!$B$5:$D$43,3,FALSE)</f>
        <v>120</v>
      </c>
      <c r="E56" s="64">
        <f t="shared" si="14"/>
        <v>120</v>
      </c>
    </row>
    <row r="57" spans="1:35" x14ac:dyDescent="0.3">
      <c r="B57" s="76" t="s">
        <v>205</v>
      </c>
      <c r="C57" s="65">
        <v>1</v>
      </c>
      <c r="D57" s="25">
        <f>VLOOKUP(B57,Coster!$B$5:$D$43,3,FALSE)</f>
        <v>30</v>
      </c>
      <c r="E57" s="64">
        <f t="shared" si="14"/>
        <v>30</v>
      </c>
    </row>
    <row r="58" spans="1:35" x14ac:dyDescent="0.3">
      <c r="B58" s="76" t="s">
        <v>203</v>
      </c>
      <c r="C58" s="65">
        <v>1</v>
      </c>
      <c r="D58" s="25">
        <f>VLOOKUP(B58,Coster!$B$5:$D$43,3,FALSE)</f>
        <v>30</v>
      </c>
      <c r="E58" s="64">
        <f t="shared" si="14"/>
        <v>30</v>
      </c>
    </row>
    <row r="59" spans="1:35" x14ac:dyDescent="0.3">
      <c r="B59" s="76" t="s">
        <v>204</v>
      </c>
      <c r="C59" s="65">
        <v>1</v>
      </c>
      <c r="D59" s="25">
        <f>VLOOKUP(B59,Coster!$B$5:$D$43,3,FALSE)</f>
        <v>40</v>
      </c>
      <c r="E59" s="64">
        <f t="shared" si="14"/>
        <v>40</v>
      </c>
    </row>
    <row r="60" spans="1:35" x14ac:dyDescent="0.3">
      <c r="B60" s="76" t="s">
        <v>222</v>
      </c>
      <c r="C60" s="65">
        <v>1</v>
      </c>
      <c r="D60" s="25">
        <v>500</v>
      </c>
      <c r="E60" s="64">
        <f t="shared" si="14"/>
        <v>500</v>
      </c>
    </row>
    <row r="61" spans="1:35" x14ac:dyDescent="0.3">
      <c r="B61" s="76"/>
      <c r="C61" s="65"/>
      <c r="D61" s="25"/>
      <c r="E61" s="64">
        <f t="shared" si="14"/>
        <v>0</v>
      </c>
    </row>
    <row r="62" spans="1:35" x14ac:dyDescent="0.3">
      <c r="B62" s="76"/>
      <c r="C62" s="65"/>
      <c r="D62" s="25"/>
      <c r="E62" s="64">
        <f t="shared" si="14"/>
        <v>0</v>
      </c>
    </row>
    <row r="63" spans="1:35" x14ac:dyDescent="0.3">
      <c r="B63" s="76"/>
      <c r="C63" s="65"/>
      <c r="D63" s="25"/>
      <c r="E63" s="64">
        <f t="shared" si="14"/>
        <v>0</v>
      </c>
    </row>
    <row r="64" spans="1:35" x14ac:dyDescent="0.3">
      <c r="B64" s="12" t="s">
        <v>53</v>
      </c>
      <c r="C64" s="65">
        <f>2*8*3</f>
        <v>48</v>
      </c>
      <c r="D64" s="25">
        <v>30</v>
      </c>
      <c r="E64" s="64">
        <f t="shared" si="14"/>
        <v>1440</v>
      </c>
    </row>
    <row r="65" spans="2:5" x14ac:dyDescent="0.3">
      <c r="B65" s="13" t="s">
        <v>90</v>
      </c>
      <c r="C65" s="65"/>
      <c r="D65" s="67"/>
      <c r="E65" s="64">
        <f>SUM(E52:E64)*D65</f>
        <v>0</v>
      </c>
    </row>
    <row r="66" spans="2:5" x14ac:dyDescent="0.3">
      <c r="B66" s="13" t="s">
        <v>23</v>
      </c>
      <c r="C66" s="66"/>
      <c r="D66" s="25"/>
      <c r="E66" s="64">
        <f>+D66*C66</f>
        <v>0</v>
      </c>
    </row>
    <row r="67" spans="2:5" x14ac:dyDescent="0.3">
      <c r="B67" s="304" t="s">
        <v>22</v>
      </c>
      <c r="C67" s="304"/>
      <c r="D67" s="304"/>
      <c r="E67" s="26">
        <f>SUM(E52:E66)</f>
        <v>3100</v>
      </c>
    </row>
    <row r="68" spans="2:5" x14ac:dyDescent="0.3">
      <c r="B68" s="57"/>
      <c r="C68" s="51"/>
      <c r="D68" s="15"/>
      <c r="E68" s="15"/>
    </row>
    <row r="69" spans="2:5" x14ac:dyDescent="0.3">
      <c r="B69" s="50"/>
      <c r="C69" s="51"/>
      <c r="D69" s="15"/>
      <c r="E69" s="15"/>
    </row>
    <row r="70" spans="2:5" x14ac:dyDescent="0.3">
      <c r="B70" s="50"/>
      <c r="C70" s="51"/>
      <c r="D70" s="15"/>
      <c r="E70" s="15"/>
    </row>
    <row r="71" spans="2:5" x14ac:dyDescent="0.3">
      <c r="B71" s="50"/>
      <c r="C71" s="51"/>
      <c r="D71" s="15"/>
      <c r="E71" s="15"/>
    </row>
    <row r="72" spans="2:5" x14ac:dyDescent="0.3">
      <c r="B72" s="50"/>
      <c r="C72" s="51"/>
      <c r="D72" s="15"/>
      <c r="E72" s="15"/>
    </row>
    <row r="73" spans="2:5" x14ac:dyDescent="0.3">
      <c r="B73" s="58"/>
      <c r="C73" s="59"/>
      <c r="D73" s="15"/>
      <c r="E73" s="15"/>
    </row>
    <row r="74" spans="2:5" x14ac:dyDescent="0.3">
      <c r="B74" s="58"/>
      <c r="C74" s="59"/>
      <c r="D74" s="15"/>
      <c r="E74" s="15"/>
    </row>
    <row r="75" spans="2:5" x14ac:dyDescent="0.3">
      <c r="B75" s="58"/>
      <c r="C75" s="59"/>
      <c r="D75" s="15"/>
      <c r="E75" s="15"/>
    </row>
    <row r="76" spans="2:5" x14ac:dyDescent="0.3">
      <c r="B76" s="58"/>
      <c r="C76" s="59"/>
      <c r="D76" s="15"/>
      <c r="E76" s="15"/>
    </row>
    <row r="77" spans="2:5" x14ac:dyDescent="0.3">
      <c r="B77" s="58"/>
      <c r="C77" s="59"/>
      <c r="D77" s="15"/>
      <c r="E77" s="15"/>
    </row>
    <row r="78" spans="2:5" x14ac:dyDescent="0.3">
      <c r="B78" s="60"/>
      <c r="C78" s="61"/>
      <c r="D78" s="15"/>
      <c r="E78" s="15"/>
    </row>
    <row r="79" spans="2:5" x14ac:dyDescent="0.3">
      <c r="B79" s="62"/>
      <c r="C79" s="63"/>
      <c r="D79" s="15"/>
      <c r="E79" s="15"/>
    </row>
    <row r="80" spans="2:5" x14ac:dyDescent="0.3">
      <c r="B80" s="58"/>
      <c r="C80" s="56"/>
      <c r="D80" s="15"/>
      <c r="E80" s="15"/>
    </row>
    <row r="81" spans="2:5" x14ac:dyDescent="0.3">
      <c r="B81" s="58"/>
      <c r="C81" s="56"/>
      <c r="D81" s="15"/>
      <c r="E81" s="15"/>
    </row>
    <row r="82" spans="2:5" x14ac:dyDescent="0.3">
      <c r="B82" s="79"/>
      <c r="C82" s="80"/>
      <c r="D82" s="15"/>
      <c r="E82" s="15"/>
    </row>
  </sheetData>
  <mergeCells count="23">
    <mergeCell ref="AF37:AH37"/>
    <mergeCell ref="B39:E39"/>
    <mergeCell ref="B50:D50"/>
    <mergeCell ref="B52:E52"/>
    <mergeCell ref="B67:D67"/>
    <mergeCell ref="B37:D37"/>
    <mergeCell ref="G37:I37"/>
    <mergeCell ref="L37:N37"/>
    <mergeCell ref="Q37:S37"/>
    <mergeCell ref="V37:X37"/>
    <mergeCell ref="AA37:AC37"/>
    <mergeCell ref="AF20:AI20"/>
    <mergeCell ref="B1:E1"/>
    <mergeCell ref="C2:E2"/>
    <mergeCell ref="C3:D3"/>
    <mergeCell ref="C4:D4"/>
    <mergeCell ref="C5:D5"/>
    <mergeCell ref="B20:E20"/>
    <mergeCell ref="G20:J20"/>
    <mergeCell ref="L20:O20"/>
    <mergeCell ref="Q20:T20"/>
    <mergeCell ref="V20:Y20"/>
    <mergeCell ref="AA20:AD2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38</vt:i4>
      </vt:variant>
      <vt:variant>
        <vt:lpstr>Intervalli denominati</vt:lpstr>
      </vt:variant>
      <vt:variant>
        <vt:i4>5</vt:i4>
      </vt:variant>
    </vt:vector>
  </HeadingPairs>
  <TitlesOfParts>
    <vt:vector size="43" baseType="lpstr">
      <vt:lpstr>Conto Termico</vt:lpstr>
      <vt:lpstr>Consumi</vt:lpstr>
      <vt:lpstr>Riassunto</vt:lpstr>
      <vt:lpstr>Pre fattibilità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Riello</vt:lpstr>
      <vt:lpstr>Grundfos</vt:lpstr>
      <vt:lpstr>Coster</vt:lpstr>
      <vt:lpstr>Contatori di energia</vt:lpstr>
      <vt:lpstr>Riassunto!Area_stampa</vt:lpstr>
      <vt:lpstr>CH4.OIL</vt:lpstr>
      <vt:lpstr>RepValidi</vt:lpstr>
      <vt:lpstr>SI</vt:lpstr>
      <vt:lpstr>SI.NO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Nicola Cappellato</dc:creator>
  <cp:lastModifiedBy>Perani Silvia (ST-IE/STS1-IT)</cp:lastModifiedBy>
  <cp:lastPrinted>2017-07-04T15:46:53Z</cp:lastPrinted>
  <dcterms:created xsi:type="dcterms:W3CDTF">2016-03-18T10:10:47Z</dcterms:created>
  <dcterms:modified xsi:type="dcterms:W3CDTF">2021-08-27T17:20:06Z</dcterms:modified>
</cp:coreProperties>
</file>