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isa\Statistica\Appello 20230214\"/>
    </mc:Choice>
  </mc:AlternateContent>
  <xr:revisionPtr revIDLastSave="0" documentId="13_ncr:1_{AF77D890-E567-4C89-BDCC-2BADFBBE12B0}" xr6:coauthVersionLast="36" xr6:coauthVersionMax="36" xr10:uidLastSave="{00000000-0000-0000-0000-000000000000}"/>
  <bookViews>
    <workbookView xWindow="240" yWindow="36" windowWidth="15480" windowHeight="9720" activeTab="1" xr2:uid="{00000000-000D-0000-FFFF-FFFF00000000}"/>
  </bookViews>
  <sheets>
    <sheet name="Foglio1" sheetId="3" r:id="rId1"/>
    <sheet name="Foglio2" sheetId="8" r:id="rId2"/>
    <sheet name="Foglio3" sheetId="4" r:id="rId3"/>
    <sheet name="Foglio4" sheetId="5" r:id="rId4"/>
    <sheet name="Foglio5" sheetId="9" r:id="rId5"/>
    <sheet name="Foglio6" sheetId="7" r:id="rId6"/>
  </sheets>
  <definedNames>
    <definedName name="_xlnm.Print_Area" localSheetId="0">Foglio1!#REF!</definedName>
    <definedName name="_xlnm.Print_Area" localSheetId="1">Foglio2!#REF!</definedName>
    <definedName name="_xlnm.Print_Area" localSheetId="2">Foglio3!#REF!</definedName>
    <definedName name="_xlnm.Print_Area" localSheetId="3">Foglio4!#REF!</definedName>
    <definedName name="_xlnm.Print_Area" localSheetId="4">Foglio5!#REF!</definedName>
    <definedName name="_xlnm.Print_Area" localSheetId="5">Foglio6!#REF!</definedName>
  </definedNames>
  <calcPr calcId="191029"/>
</workbook>
</file>

<file path=xl/calcChain.xml><?xml version="1.0" encoding="utf-8"?>
<calcChain xmlns="http://schemas.openxmlformats.org/spreadsheetml/2006/main">
  <c r="B22" i="5" l="1"/>
  <c r="B19" i="5"/>
  <c r="B16" i="5"/>
  <c r="B35" i="9"/>
  <c r="B30" i="9"/>
  <c r="B21" i="9"/>
  <c r="B37" i="7" l="1"/>
  <c r="C39" i="7" s="1"/>
  <c r="B36" i="7"/>
  <c r="C38" i="7" s="1"/>
  <c r="B29" i="7"/>
  <c r="B18" i="7"/>
  <c r="C32" i="7" s="1"/>
  <c r="B16" i="7"/>
  <c r="B19" i="7" l="1"/>
  <c r="C31" i="7"/>
  <c r="B21" i="3" l="1"/>
  <c r="A29" i="3" s="1"/>
  <c r="D21" i="3"/>
  <c r="D20" i="3"/>
  <c r="D19" i="3"/>
  <c r="D18" i="3"/>
  <c r="D17" i="3"/>
  <c r="D16" i="3"/>
  <c r="D15" i="3"/>
  <c r="C15" i="3" l="1"/>
  <c r="E15" i="3" s="1"/>
  <c r="C16" i="3" l="1"/>
  <c r="C17" i="3" s="1"/>
  <c r="E16" i="3"/>
  <c r="E17" i="3" l="1"/>
  <c r="C18" i="3"/>
  <c r="B13" i="9"/>
  <c r="B28" i="9"/>
  <c r="B16" i="9"/>
  <c r="E18" i="3" l="1"/>
  <c r="C19" i="3"/>
  <c r="C17" i="9"/>
  <c r="C18" i="9"/>
  <c r="E19" i="3" l="1"/>
  <c r="C20" i="3"/>
  <c r="E20" i="3" s="1"/>
  <c r="I29" i="4"/>
  <c r="G29" i="4"/>
  <c r="B27" i="4"/>
  <c r="E29" i="4" s="1"/>
  <c r="D22" i="4"/>
  <c r="C13" i="4"/>
  <c r="E13" i="4" s="1"/>
  <c r="B21" i="4"/>
  <c r="B20" i="4"/>
  <c r="B22" i="4" s="1"/>
  <c r="D16" i="4"/>
  <c r="F16" i="4" s="1"/>
  <c r="B16" i="4"/>
  <c r="H16" i="4" s="1"/>
  <c r="E21" i="3" l="1"/>
  <c r="B23" i="3" s="1"/>
  <c r="J16" i="4"/>
  <c r="K29" i="4"/>
  <c r="A19" i="8" l="1"/>
  <c r="A18" i="8"/>
  <c r="A17" i="8"/>
  <c r="A24" i="8" l="1"/>
  <c r="A25" i="8"/>
  <c r="A23" i="8"/>
  <c r="C17" i="8"/>
  <c r="C23" i="8" s="1"/>
  <c r="D17" i="8"/>
  <c r="D23" i="8" s="1"/>
  <c r="C18" i="8"/>
  <c r="C24" i="8" s="1"/>
  <c r="D18" i="8"/>
  <c r="D24" i="8" s="1"/>
  <c r="C19" i="8"/>
  <c r="C25" i="8" s="1"/>
  <c r="D19" i="8"/>
  <c r="D25" i="8" s="1"/>
  <c r="B18" i="8"/>
  <c r="E18" i="8" s="1"/>
  <c r="E24" i="8" s="1"/>
  <c r="B19" i="8"/>
  <c r="B25" i="8" s="1"/>
  <c r="B17" i="8"/>
  <c r="B23" i="8" s="1"/>
  <c r="B24" i="8" l="1"/>
  <c r="C20" i="8"/>
  <c r="D20" i="8"/>
  <c r="D26" i="8" s="1"/>
  <c r="E17" i="8"/>
  <c r="E23" i="8" s="1"/>
  <c r="E19" i="8"/>
  <c r="E25" i="8" s="1"/>
  <c r="B20" i="8"/>
  <c r="C26" i="8"/>
  <c r="E20" i="8" l="1"/>
  <c r="E27" i="8" s="1"/>
  <c r="B26" i="8"/>
  <c r="C33" i="8" l="1"/>
  <c r="C34" i="8" s="1"/>
  <c r="D33" i="8"/>
  <c r="D34" i="8" s="1"/>
  <c r="B33" i="8"/>
  <c r="B34" i="8" s="1"/>
  <c r="C32" i="8" s="1"/>
  <c r="A39" i="8"/>
  <c r="B39" i="8" s="1"/>
  <c r="A40" i="8"/>
  <c r="B40" i="8" s="1"/>
  <c r="A41" i="8"/>
  <c r="B41" i="8" s="1"/>
  <c r="B37" i="8" l="1"/>
  <c r="B43" i="8" s="1"/>
</calcChain>
</file>

<file path=xl/sharedStrings.xml><?xml version="1.0" encoding="utf-8"?>
<sst xmlns="http://schemas.openxmlformats.org/spreadsheetml/2006/main" count="179" uniqueCount="138">
  <si>
    <t>a)</t>
  </si>
  <si>
    <t>b)</t>
  </si>
  <si>
    <t>c)</t>
  </si>
  <si>
    <t>n =</t>
  </si>
  <si>
    <r>
      <t>a</t>
    </r>
    <r>
      <rPr>
        <sz val="10"/>
        <rFont val="Arial"/>
        <family val="2"/>
      </rPr>
      <t xml:space="preserve"> =</t>
    </r>
  </si>
  <si>
    <t>xm =</t>
  </si>
  <si>
    <t>p =</t>
  </si>
  <si>
    <t>d)</t>
  </si>
  <si>
    <r>
      <t>H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 = </t>
    </r>
  </si>
  <si>
    <r>
      <t>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 &lt; </t>
    </r>
  </si>
  <si>
    <r>
      <t>1-a</t>
    </r>
    <r>
      <rPr>
        <sz val="10"/>
        <rFont val="Arial"/>
        <family val="2"/>
      </rPr>
      <t xml:space="preserve"> =</t>
    </r>
  </si>
  <si>
    <t>Estremo inferiore =</t>
  </si>
  <si>
    <t>Estremo superiore =</t>
  </si>
  <si>
    <r>
      <t>z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</si>
  <si>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t>p-value =</t>
  </si>
  <si>
    <t>b) Quali sono gli errori che si possono commettere effettuando una verifica delle ipotesi?</t>
  </si>
  <si>
    <r>
      <t>-z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</si>
  <si>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z =</t>
  </si>
  <si>
    <t xml:space="preserve">I dati contengono sufficiente evidenza per rifiutare l'ipotesi nulla </t>
  </si>
  <si>
    <t>In una verifica delle ipotesi si possono commettere due tipi di errori. Si può rifiutare l'ipotesi nulla quando questa è vera (errore di prima specie) oppure si può accettare</t>
  </si>
  <si>
    <t>l'ipotesi nulla quando questa è falsa (errore di seconda specie)</t>
  </si>
  <si>
    <r>
      <rPr>
        <sz val="10"/>
        <rFont val="Arial"/>
        <family val="2"/>
      </rPr>
      <t>z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</si>
  <si>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t>a) Testare l’ipotesi che il contenuto medio delle lattine utilizzate per rifornire il distributore sia pari a 33 cl  contro l’ipotesi alternativa che sia minore, ad un livello del 10%.</t>
  </si>
  <si>
    <t>c) Determinare un intervallo di confidenza al 90% per la media del contenuto nella popolazione di riferimento.</t>
  </si>
  <si>
    <t>d) Determinare un intervallo di confidenza al 90% per la varianza del contenuto nella popolazione di riferimento.</t>
  </si>
  <si>
    <r>
      <t>c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</si>
  <si>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r>
      <t>c</t>
    </r>
    <r>
      <rPr>
        <vertAlign val="subscript"/>
        <sz val="10"/>
        <rFont val="Symbol"/>
        <family val="1"/>
        <charset val="2"/>
      </rPr>
      <t>1-a/2</t>
    </r>
    <r>
      <rPr>
        <sz val="10"/>
        <rFont val="Arial"/>
        <family val="2"/>
      </rPr>
      <t xml:space="preserve"> =</t>
    </r>
  </si>
  <si>
    <t>Un'indagine intrapresa in una regione per stabilire se vi è una relazione tra luogo</t>
  </si>
  <si>
    <t>ha fornito i seguenti risultati:</t>
  </si>
  <si>
    <t>Tipo di zona</t>
  </si>
  <si>
    <t>Livelli di spesa per generi alimentari (in euro al mese)</t>
  </si>
  <si>
    <t>Grandi centri</t>
  </si>
  <si>
    <t>Piccoli centri</t>
  </si>
  <si>
    <t>Zona rurale</t>
  </si>
  <si>
    <t>a) Si calcoli il livello medio di spesa mensile delle famiglie per generi alimentari, condizionatamente al luogo di residenza.</t>
  </si>
  <si>
    <t>b) Sulla base dei risultati al punto a) si dica se c'è indipendenza in media dei livelli di spesa dalla zona di residenza, motivando la risposta.</t>
  </si>
  <si>
    <t>c) Si calcoli un opportuno indice per misurare il grado di dipendenza in media della spesa dalla zona di residenza e se ne interpreti il risultato.</t>
  </si>
  <si>
    <t>Valore centrale di classe</t>
  </si>
  <si>
    <t>Totale</t>
  </si>
  <si>
    <t>xi</t>
  </si>
  <si>
    <t>xi*ni</t>
  </si>
  <si>
    <t>medie condizionate</t>
  </si>
  <si>
    <t>media marginale</t>
  </si>
  <si>
    <t>b) Essendo le medie condizionate diverse tra loro, dobbiamo concludere che la zona di residenza influisce sul livello medio di spesa</t>
  </si>
  <si>
    <t>c) Calcoliamo l'indice eta quadro</t>
  </si>
  <si>
    <t>Varianza delle medie condizionate =</t>
  </si>
  <si>
    <t>(media cond.-media marg.)^2</t>
  </si>
  <si>
    <t>(media cond.-media marg.)^2*ni</t>
  </si>
  <si>
    <t>Varianza totale</t>
  </si>
  <si>
    <t>(xi-media marg.)^2</t>
  </si>
  <si>
    <t>(xi-media marg.)^2*ni</t>
  </si>
  <si>
    <t>eta quadro =</t>
  </si>
  <si>
    <t>d) Dato il risultato al punto c), se per la stessa tabella avessimo calcolato l'indice di Cramer, questo sarebbe potuto risultare pari a 0? Motivare la risposta</t>
  </si>
  <si>
    <t>No, la dipendenza in media implica la dipendenza statistica</t>
  </si>
  <si>
    <t>-</t>
  </si>
  <si>
    <t>=</t>
  </si>
  <si>
    <t>100-150</t>
  </si>
  <si>
    <t>150-200</t>
  </si>
  <si>
    <t>200-300</t>
  </si>
  <si>
    <t>di residenza della famiglia (monocomponente) e spesa per generi alimentari</t>
  </si>
  <si>
    <t xml:space="preserve">Un individuo per andare da casa sua al lavoro utilizzando i mezzi pubblici impiega un tempo variabile, </t>
  </si>
  <si>
    <t>che si distribuisce come una variabile aleatoria normale</t>
  </si>
  <si>
    <t xml:space="preserve">b) il viaggio duri tra i 30 e i 40 minuti. </t>
  </si>
  <si>
    <t>Indichiamo con X la v.a. tempo di viaggio</t>
  </si>
  <si>
    <t>mu =</t>
  </si>
  <si>
    <t xml:space="preserve">sigma^2 = </t>
  </si>
  <si>
    <r>
      <t>P(Z</t>
    </r>
    <r>
      <rPr>
        <sz val="10"/>
        <rFont val="Symbol"/>
        <family val="1"/>
        <charset val="2"/>
      </rPr>
      <t>&gt;</t>
    </r>
  </si>
  <si>
    <t>)=</t>
  </si>
  <si>
    <t>P(30&lt;X&lt;40) =P(</t>
  </si>
  <si>
    <t>&lt; Z &lt;</t>
  </si>
  <si>
    <t>) =</t>
  </si>
  <si>
    <t>Y = {tempo di viaggio complessivo in una settimana}</t>
  </si>
  <si>
    <t>+</t>
  </si>
  <si>
    <t xml:space="preserve">di valore atteso 39 minuti e deviazione standard pari a 5 minuti. Determinare la probabilità che </t>
  </si>
  <si>
    <t>a) il viaggio duri più di 45 minuti.</t>
  </si>
  <si>
    <t>d)  su 10 viaggi, al massimo 2 durino più di 45 minuti.</t>
  </si>
  <si>
    <t>c) in una settimana (5 giorni lavorativi) l'individuo complessivamente passi al massimo 3 ore sui mezzi pubblici.</t>
  </si>
  <si>
    <r>
      <t>P(X</t>
    </r>
    <r>
      <rPr>
        <sz val="10"/>
        <rFont val="Symbol"/>
        <family val="1"/>
        <charset val="2"/>
      </rPr>
      <t>&gt;45</t>
    </r>
    <r>
      <rPr>
        <sz val="10"/>
        <rFont val="Arial"/>
        <family val="2"/>
      </rPr>
      <t>) =</t>
    </r>
  </si>
  <si>
    <t>P(Y&lt;3) =P(Z &lt;</t>
  </si>
  <si>
    <t>Indichiamo con Q la v.a. binomiale che conta il numero di volte che il viaggio è durato più di 45 minuti tra i 10 viaggi considerati</t>
  </si>
  <si>
    <t>P(Q&lt;3) = [P(Q=0) + P(Q=1) + P(Q=2)] =</t>
  </si>
  <si>
    <t>Si vuole valutare l'impatto di una campagna per ridurre l'utilizzo dell'auto propria in una determinata città.</t>
  </si>
  <si>
    <t>Prima della campagna, la percentuale di cittadini che utilizzava l'auto propria almeno una volta a settimana</t>
  </si>
  <si>
    <t>dichiara di aver utilizzato l'auto propria almeno una volta a settimana nell'ultimo mese.</t>
  </si>
  <si>
    <t>(c) Si verifichi l'ipotesi che la campagna sia stata efficace, al livello alfa del 5%.</t>
  </si>
  <si>
    <t>(d) Si calcoli il p-value per il test al punto precedente, se ne spieghi il significato e se ne interpreti il valore.</t>
  </si>
  <si>
    <t xml:space="preserve">n = </t>
  </si>
  <si>
    <r>
      <t>H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p</t>
    </r>
    <r>
      <rPr>
        <sz val="10"/>
        <rFont val="Arial"/>
        <family val="2"/>
      </rPr>
      <t xml:space="preserve"> = </t>
    </r>
  </si>
  <si>
    <r>
      <t>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p</t>
    </r>
    <r>
      <rPr>
        <sz val="10"/>
        <rFont val="Arial"/>
        <family val="2"/>
      </rPr>
      <t xml:space="preserve"> &lt; </t>
    </r>
  </si>
  <si>
    <t xml:space="preserve">z = </t>
  </si>
  <si>
    <t>I dati contengono sufficiente evidenza per rifiutare l'ipotesi nulla e concludere che la campagna è stata effettiva, al livello del 5%.</t>
  </si>
  <si>
    <t>Il p-value rappresenta la probabilità di osservare un valore della statistica test ancora più estremo di quello osservato, nel caso sia vera l'ipotesi nulla.</t>
  </si>
  <si>
    <t>Per i dati a disposizione il p-value è piccolissimo: è estremamente implausibile osservare una percentuale campionaria che si discosti così tanto da</t>
  </si>
  <si>
    <t>quella ipotizzata per il solo effetto dell'errore campionario. Siamo sostanzialmente certi che l'ipotesi nulla sia falsa.</t>
  </si>
  <si>
    <t>era del 78%. Un paio di mesi dopo la campagna, viene estratto un campione di 350 cittadini e 245 di essi</t>
  </si>
  <si>
    <t>(a) Si stimi l'intervallo di confidenza al 95% per la frequenza di persone che usano l'auto propria almeno una volta a settimana, dopo la campagna.</t>
  </si>
  <si>
    <t>(b) Quale dovrebbe essere la numerosità campionaria al fine di ottenere un intervallo al 95% di ampiezza pari a 0,05?</t>
  </si>
  <si>
    <t>Una regione delle alpi è stata suddivisa in 6 sottoaree di uguale dimensione</t>
  </si>
  <si>
    <t>e conformazione. Per ogni sottoarea è stato svolto un censimento dei camosci presenti.</t>
  </si>
  <si>
    <t>I risultati ottenuti sono stati:</t>
  </si>
  <si>
    <t>Sottoarea</t>
  </si>
  <si>
    <t>A</t>
  </si>
  <si>
    <t>B</t>
  </si>
  <si>
    <t>C</t>
  </si>
  <si>
    <t>D</t>
  </si>
  <si>
    <t>E</t>
  </si>
  <si>
    <t>F</t>
  </si>
  <si>
    <t>Frequenza</t>
  </si>
  <si>
    <t>b) Si rappresenti graficamente il grado di concentrazione.</t>
  </si>
  <si>
    <t>c) Si calcoli il numero teorico di camosci per area in caso di equidistibuzione.</t>
  </si>
  <si>
    <t>Qi</t>
  </si>
  <si>
    <t>Fi</t>
  </si>
  <si>
    <t>Fi-Qi</t>
  </si>
  <si>
    <t>Frequenze</t>
  </si>
  <si>
    <t>Rapporto di concentrazione di Gini =</t>
  </si>
  <si>
    <t xml:space="preserve">b) </t>
  </si>
  <si>
    <t>a) Si valuti, attraverso il calcolo di un opportuno indice, il grado di concentrazione dei camosci nelle 6 sottoaree</t>
  </si>
  <si>
    <t>d) A parità di numerosità totale, se nella zona E si fossero osservati 190 camosci, il grado di concentrazione sarebbe risultato più elevato o più basso? Si risponda senza effettuare calcoli e motivando la risposta.</t>
  </si>
  <si>
    <t>Il grado di concentrazione aumenta.</t>
  </si>
  <si>
    <t>a) Qual è la probabilità che un cliente della banca acquisti il titolo?</t>
  </si>
  <si>
    <t>d) Gli eventi il cliente acquista il titolo e il cliente ha un basso profilo di rischio sono indipendenti? Motivare la risposta.</t>
  </si>
  <si>
    <t>A={acquisto del titolo}</t>
  </si>
  <si>
    <t>B ={cliente con profilo basso di rischio}</t>
  </si>
  <si>
    <t>P(A|B)=</t>
  </si>
  <si>
    <r>
      <t>P(A|B</t>
    </r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>)=</t>
    </r>
  </si>
  <si>
    <t>P(B)=</t>
  </si>
  <si>
    <t xml:space="preserve">P(A) = </t>
  </si>
  <si>
    <t>Non sono indipendenti altrimenti la probabilità di A|B dovrebbe essere uguale alla probabilità di A.</t>
  </si>
  <si>
    <t xml:space="preserve">La probabilità che un cliente di una certa banca con un alto profilo di rischio acquisti un determinato titolo è pari a 0,3. </t>
  </si>
  <si>
    <t>La probabilità che lo stesso titolo venga acquistato invece da un cliente con un basso profilo di rischio è pari a 0,08. I clienti ad alto rischio rappresentano il 10% dei clienti della banca. Il restante 90% dei clienti sono a basso rischio.</t>
  </si>
  <si>
    <t xml:space="preserve">b) Qual è la probabilità che avendo osservato un cliente che ha acquistato il titolo, questi abbia un alto profilo di rischio? </t>
  </si>
  <si>
    <t>c) Qual è la probabilità che, estratto un cliente, questi sia a basso rischio e non abbia acquistato il titolo?</t>
  </si>
  <si>
    <r>
      <t>P(B</t>
    </r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>|A)=</t>
    </r>
  </si>
  <si>
    <r>
      <t>P(A</t>
    </r>
    <r>
      <rPr>
        <vertAlign val="superscript"/>
        <sz val="10"/>
        <rFont val="Arial"/>
        <family val="2"/>
      </rPr>
      <t>c</t>
    </r>
    <r>
      <rPr>
        <sz val="10"/>
        <rFont val="Calibri"/>
        <family val="2"/>
      </rPr>
      <t>∩</t>
    </r>
    <r>
      <rPr>
        <sz val="10"/>
        <rFont val="Arial"/>
        <family val="2"/>
      </rPr>
      <t>B) =</t>
    </r>
  </si>
  <si>
    <t xml:space="preserve">una deviazione standard di 1 cl. </t>
  </si>
  <si>
    <t>Un campione di 81 lattine provenienti da una distributore automatico ha un contenuto medio di 32,4 cl con</t>
  </si>
  <si>
    <t>s =</t>
  </si>
  <si>
    <t>La zona di residenza riesce a spiegare il 20% della variabilità totale osservata nei livelli di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</si>
</sst>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0.0000"/>
  </numFmts>
  <fonts count="18" x14ac:knownFonts="1">
    <font>
      <sz val="10"/>
      <name val="Arial"/>
    </font>
    <font>
      <b/>
      <sz val="12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Symbol"/>
      <family val="1"/>
      <charset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2"/>
      <color indexed="8"/>
      <name val="Arial"/>
      <family val="2"/>
    </font>
    <font>
      <vertAlign val="subscript"/>
      <sz val="10"/>
      <name val="Symbol"/>
      <family val="1"/>
      <charset val="2"/>
    </font>
    <font>
      <b/>
      <sz val="10"/>
      <color rgb="FFFF0000"/>
      <name val="Arial"/>
      <family val="2"/>
    </font>
    <font>
      <sz val="10"/>
      <name val="Calibri"/>
      <family val="2"/>
    </font>
    <font>
      <sz val="10"/>
      <color indexed="8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Border="1"/>
    <xf numFmtId="0" fontId="4" fillId="0" borderId="0" xfId="0" applyFont="1"/>
    <xf numFmtId="0" fontId="0" fillId="0" borderId="0" xfId="0" applyBorder="1"/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0" fillId="0" borderId="0" xfId="0" quotePrefix="1"/>
    <xf numFmtId="1" fontId="0" fillId="0" borderId="0" xfId="0" applyNumberFormat="1"/>
    <xf numFmtId="0" fontId="4" fillId="0" borderId="0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0" fillId="0" borderId="0" xfId="0" applyFill="1" applyBorder="1"/>
    <xf numFmtId="0" fontId="10" fillId="0" borderId="0" xfId="0" applyFont="1"/>
    <xf numFmtId="0" fontId="6" fillId="0" borderId="0" xfId="0" quotePrefix="1" applyFont="1"/>
    <xf numFmtId="165" fontId="0" fillId="0" borderId="0" xfId="0" applyNumberFormat="1" applyBorder="1"/>
    <xf numFmtId="0" fontId="4" fillId="0" borderId="0" xfId="0" quotePrefix="1" applyFont="1" applyBorder="1"/>
    <xf numFmtId="0" fontId="11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12" fillId="0" borderId="0" xfId="0" applyFont="1" applyAlignment="1">
      <alignment horizontal="right"/>
    </xf>
    <xf numFmtId="0" fontId="12" fillId="0" borderId="0" xfId="0" applyFont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Font="1" applyFill="1" applyBorder="1"/>
    <xf numFmtId="0" fontId="3" fillId="0" borderId="0" xfId="0" applyFont="1"/>
    <xf numFmtId="0" fontId="3" fillId="0" borderId="0" xfId="0" applyFont="1" applyBorder="1"/>
    <xf numFmtId="164" fontId="0" fillId="0" borderId="0" xfId="0" applyNumberFormat="1"/>
    <xf numFmtId="166" fontId="3" fillId="0" borderId="0" xfId="0" applyNumberFormat="1" applyFont="1" applyBorder="1"/>
    <xf numFmtId="0" fontId="3" fillId="0" borderId="0" xfId="0" quotePrefix="1" applyFont="1"/>
    <xf numFmtId="166" fontId="0" fillId="0" borderId="0" xfId="0" applyNumberFormat="1"/>
    <xf numFmtId="2" fontId="0" fillId="0" borderId="0" xfId="0" applyNumberFormat="1"/>
    <xf numFmtId="0" fontId="7" fillId="0" borderId="0" xfId="0" quotePrefix="1" applyFont="1"/>
    <xf numFmtId="0" fontId="4" fillId="0" borderId="0" xfId="0" applyFont="1" applyFill="1" applyBorder="1"/>
    <xf numFmtId="0" fontId="3" fillId="0" borderId="0" xfId="0" applyFont="1" applyFill="1" applyBorder="1"/>
    <xf numFmtId="0" fontId="4" fillId="0" borderId="0" xfId="0" applyFont="1" applyAlignment="1">
      <alignment horizontal="left"/>
    </xf>
    <xf numFmtId="164" fontId="10" fillId="0" borderId="0" xfId="0" applyNumberFormat="1" applyFont="1"/>
    <xf numFmtId="0" fontId="13" fillId="0" borderId="0" xfId="0" applyFont="1" applyAlignment="1"/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2" xfId="0" quotePrefix="1" applyFont="1" applyBorder="1" applyAlignment="1">
      <alignment wrapText="1"/>
    </xf>
    <xf numFmtId="0" fontId="4" fillId="0" borderId="6" xfId="0" applyFont="1" applyBorder="1"/>
    <xf numFmtId="2" fontId="4" fillId="0" borderId="0" xfId="0" applyNumberFormat="1" applyFont="1" applyBorder="1"/>
    <xf numFmtId="0" fontId="4" fillId="0" borderId="4" xfId="0" quotePrefix="1" applyFont="1" applyBorder="1" applyAlignment="1">
      <alignment wrapText="1"/>
    </xf>
    <xf numFmtId="0" fontId="4" fillId="0" borderId="0" xfId="0" quotePrefix="1" applyFont="1" applyBorder="1" applyAlignment="1">
      <alignment wrapText="1"/>
    </xf>
    <xf numFmtId="20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4" fillId="0" borderId="0" xfId="0" applyNumberFormat="1" applyFont="1"/>
    <xf numFmtId="0" fontId="4" fillId="0" borderId="0" xfId="0" applyNumberFormat="1" applyFont="1" applyAlignment="1"/>
    <xf numFmtId="165" fontId="0" fillId="0" borderId="0" xfId="0" applyNumberFormat="1"/>
    <xf numFmtId="9" fontId="0" fillId="0" borderId="0" xfId="0" applyNumberFormat="1"/>
    <xf numFmtId="0" fontId="15" fillId="0" borderId="0" xfId="0" applyFont="1"/>
    <xf numFmtId="0" fontId="10" fillId="0" borderId="0" xfId="0" applyFont="1" applyFill="1" applyBorder="1" applyAlignment="1">
      <alignment horizontal="left"/>
    </xf>
    <xf numFmtId="164" fontId="0" fillId="0" borderId="0" xfId="0" applyNumberFormat="1" applyBorder="1"/>
    <xf numFmtId="2" fontId="0" fillId="0" borderId="0" xfId="0" applyNumberFormat="1" applyBorder="1"/>
    <xf numFmtId="0" fontId="13" fillId="0" borderId="0" xfId="0" applyFont="1" applyAlignment="1">
      <alignment wrapText="1"/>
    </xf>
    <xf numFmtId="0" fontId="13" fillId="0" borderId="0" xfId="0" quotePrefix="1" applyFont="1"/>
    <xf numFmtId="0" fontId="13" fillId="0" borderId="0" xfId="0" applyFo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textRotation="90"/>
    </xf>
    <xf numFmtId="0" fontId="17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Curva di Lorenz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Foglio1!$D$14:$D$20</c:f>
              <c:numCache>
                <c:formatCode>0.000</c:formatCode>
                <c:ptCount val="7"/>
                <c:pt idx="0" formatCode="General">
                  <c:v>0</c:v>
                </c:pt>
                <c:pt idx="1">
                  <c:v>0.16666666666666666</c:v>
                </c:pt>
                <c:pt idx="2">
                  <c:v>0.33333333333333331</c:v>
                </c:pt>
                <c:pt idx="3">
                  <c:v>0.5</c:v>
                </c:pt>
                <c:pt idx="4">
                  <c:v>0.66666666666666663</c:v>
                </c:pt>
                <c:pt idx="5">
                  <c:v>0.83333333333333337</c:v>
                </c:pt>
                <c:pt idx="6" formatCode="General">
                  <c:v>1</c:v>
                </c:pt>
              </c:numCache>
            </c:numRef>
          </c:xVal>
          <c:yVal>
            <c:numRef>
              <c:f>Foglio1!$C$14:$C$20</c:f>
              <c:numCache>
                <c:formatCode>0.000</c:formatCode>
                <c:ptCount val="7"/>
                <c:pt idx="0" formatCode="General">
                  <c:v>0</c:v>
                </c:pt>
                <c:pt idx="1">
                  <c:v>0.10039370078740158</c:v>
                </c:pt>
                <c:pt idx="2">
                  <c:v>0.23818897637795278</c:v>
                </c:pt>
                <c:pt idx="3">
                  <c:v>0.40354330708661423</c:v>
                </c:pt>
                <c:pt idx="4">
                  <c:v>0.58267716535433078</c:v>
                </c:pt>
                <c:pt idx="5">
                  <c:v>0.78346456692913391</c:v>
                </c:pt>
                <c:pt idx="6" formatCode="General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2B3-4C57-B7F5-394C5165D1C1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Foglio1!$E$23:$E$24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Foglio1!$E$23:$E$24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2B3-4C57-B7F5-394C5165D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0569168"/>
        <c:axId val="620569712"/>
      </c:scatterChart>
      <c:valAx>
        <c:axId val="62056916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0569712"/>
        <c:crosses val="autoZero"/>
        <c:crossBetween val="midCat"/>
      </c:valAx>
      <c:valAx>
        <c:axId val="6205697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20569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21</xdr:row>
      <xdr:rowOff>22860</xdr:rowOff>
    </xdr:from>
    <xdr:to>
      <xdr:col>8</xdr:col>
      <xdr:colOff>327660</xdr:colOff>
      <xdr:row>30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7D81178-79E4-42C9-A939-19EA615F4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zoomScale="150" zoomScaleNormal="150" workbookViewId="0"/>
  </sheetViews>
  <sheetFormatPr defaultColWidth="9.1640625" defaultRowHeight="12.3" x14ac:dyDescent="0.4"/>
  <cols>
    <col min="1" max="1" width="12.71875" style="4" customWidth="1"/>
    <col min="2" max="2" width="6.83203125" style="4" customWidth="1"/>
    <col min="3" max="3" width="6.27734375" style="4" customWidth="1"/>
    <col min="4" max="4" width="6.1640625" style="4" customWidth="1"/>
    <col min="5" max="5" width="11.83203125" style="4" customWidth="1"/>
    <col min="6" max="7" width="4.83203125" style="4" customWidth="1"/>
    <col min="8" max="8" width="6.1640625" style="4" customWidth="1"/>
    <col min="9" max="9" width="6.5546875" style="4" customWidth="1"/>
    <col min="10" max="10" width="6.71875" style="4" customWidth="1"/>
    <col min="11" max="256" width="9.1640625" style="4"/>
    <col min="257" max="257" width="12.71875" style="4" customWidth="1"/>
    <col min="258" max="258" width="6.83203125" style="4" customWidth="1"/>
    <col min="259" max="259" width="6.27734375" style="4" customWidth="1"/>
    <col min="260" max="260" width="6.1640625" style="4" customWidth="1"/>
    <col min="261" max="261" width="11.83203125" style="4" customWidth="1"/>
    <col min="262" max="263" width="4.83203125" style="4" customWidth="1"/>
    <col min="264" max="264" width="6.1640625" style="4" customWidth="1"/>
    <col min="265" max="265" width="6.5546875" style="4" customWidth="1"/>
    <col min="266" max="266" width="6.71875" style="4" customWidth="1"/>
    <col min="267" max="512" width="9.1640625" style="4"/>
    <col min="513" max="513" width="12.71875" style="4" customWidth="1"/>
    <col min="514" max="514" width="6.83203125" style="4" customWidth="1"/>
    <col min="515" max="515" width="6.27734375" style="4" customWidth="1"/>
    <col min="516" max="516" width="6.1640625" style="4" customWidth="1"/>
    <col min="517" max="517" width="11.83203125" style="4" customWidth="1"/>
    <col min="518" max="519" width="4.83203125" style="4" customWidth="1"/>
    <col min="520" max="520" width="6.1640625" style="4" customWidth="1"/>
    <col min="521" max="521" width="6.5546875" style="4" customWidth="1"/>
    <col min="522" max="522" width="6.71875" style="4" customWidth="1"/>
    <col min="523" max="768" width="9.1640625" style="4"/>
    <col min="769" max="769" width="12.71875" style="4" customWidth="1"/>
    <col min="770" max="770" width="6.83203125" style="4" customWidth="1"/>
    <col min="771" max="771" width="6.27734375" style="4" customWidth="1"/>
    <col min="772" max="772" width="6.1640625" style="4" customWidth="1"/>
    <col min="773" max="773" width="11.83203125" style="4" customWidth="1"/>
    <col min="774" max="775" width="4.83203125" style="4" customWidth="1"/>
    <col min="776" max="776" width="6.1640625" style="4" customWidth="1"/>
    <col min="777" max="777" width="6.5546875" style="4" customWidth="1"/>
    <col min="778" max="778" width="6.71875" style="4" customWidth="1"/>
    <col min="779" max="1024" width="9.1640625" style="4"/>
    <col min="1025" max="1025" width="12.71875" style="4" customWidth="1"/>
    <col min="1026" max="1026" width="6.83203125" style="4" customWidth="1"/>
    <col min="1027" max="1027" width="6.27734375" style="4" customWidth="1"/>
    <col min="1028" max="1028" width="6.1640625" style="4" customWidth="1"/>
    <col min="1029" max="1029" width="11.83203125" style="4" customWidth="1"/>
    <col min="1030" max="1031" width="4.83203125" style="4" customWidth="1"/>
    <col min="1032" max="1032" width="6.1640625" style="4" customWidth="1"/>
    <col min="1033" max="1033" width="6.5546875" style="4" customWidth="1"/>
    <col min="1034" max="1034" width="6.71875" style="4" customWidth="1"/>
    <col min="1035" max="1280" width="9.1640625" style="4"/>
    <col min="1281" max="1281" width="12.71875" style="4" customWidth="1"/>
    <col min="1282" max="1282" width="6.83203125" style="4" customWidth="1"/>
    <col min="1283" max="1283" width="6.27734375" style="4" customWidth="1"/>
    <col min="1284" max="1284" width="6.1640625" style="4" customWidth="1"/>
    <col min="1285" max="1285" width="11.83203125" style="4" customWidth="1"/>
    <col min="1286" max="1287" width="4.83203125" style="4" customWidth="1"/>
    <col min="1288" max="1288" width="6.1640625" style="4" customWidth="1"/>
    <col min="1289" max="1289" width="6.5546875" style="4" customWidth="1"/>
    <col min="1290" max="1290" width="6.71875" style="4" customWidth="1"/>
    <col min="1291" max="1536" width="9.1640625" style="4"/>
    <col min="1537" max="1537" width="12.71875" style="4" customWidth="1"/>
    <col min="1538" max="1538" width="6.83203125" style="4" customWidth="1"/>
    <col min="1539" max="1539" width="6.27734375" style="4" customWidth="1"/>
    <col min="1540" max="1540" width="6.1640625" style="4" customWidth="1"/>
    <col min="1541" max="1541" width="11.83203125" style="4" customWidth="1"/>
    <col min="1542" max="1543" width="4.83203125" style="4" customWidth="1"/>
    <col min="1544" max="1544" width="6.1640625" style="4" customWidth="1"/>
    <col min="1545" max="1545" width="6.5546875" style="4" customWidth="1"/>
    <col min="1546" max="1546" width="6.71875" style="4" customWidth="1"/>
    <col min="1547" max="1792" width="9.1640625" style="4"/>
    <col min="1793" max="1793" width="12.71875" style="4" customWidth="1"/>
    <col min="1794" max="1794" width="6.83203125" style="4" customWidth="1"/>
    <col min="1795" max="1795" width="6.27734375" style="4" customWidth="1"/>
    <col min="1796" max="1796" width="6.1640625" style="4" customWidth="1"/>
    <col min="1797" max="1797" width="11.83203125" style="4" customWidth="1"/>
    <col min="1798" max="1799" width="4.83203125" style="4" customWidth="1"/>
    <col min="1800" max="1800" width="6.1640625" style="4" customWidth="1"/>
    <col min="1801" max="1801" width="6.5546875" style="4" customWidth="1"/>
    <col min="1802" max="1802" width="6.71875" style="4" customWidth="1"/>
    <col min="1803" max="2048" width="9.1640625" style="4"/>
    <col min="2049" max="2049" width="12.71875" style="4" customWidth="1"/>
    <col min="2050" max="2050" width="6.83203125" style="4" customWidth="1"/>
    <col min="2051" max="2051" width="6.27734375" style="4" customWidth="1"/>
    <col min="2052" max="2052" width="6.1640625" style="4" customWidth="1"/>
    <col min="2053" max="2053" width="11.83203125" style="4" customWidth="1"/>
    <col min="2054" max="2055" width="4.83203125" style="4" customWidth="1"/>
    <col min="2056" max="2056" width="6.1640625" style="4" customWidth="1"/>
    <col min="2057" max="2057" width="6.5546875" style="4" customWidth="1"/>
    <col min="2058" max="2058" width="6.71875" style="4" customWidth="1"/>
    <col min="2059" max="2304" width="9.1640625" style="4"/>
    <col min="2305" max="2305" width="12.71875" style="4" customWidth="1"/>
    <col min="2306" max="2306" width="6.83203125" style="4" customWidth="1"/>
    <col min="2307" max="2307" width="6.27734375" style="4" customWidth="1"/>
    <col min="2308" max="2308" width="6.1640625" style="4" customWidth="1"/>
    <col min="2309" max="2309" width="11.83203125" style="4" customWidth="1"/>
    <col min="2310" max="2311" width="4.83203125" style="4" customWidth="1"/>
    <col min="2312" max="2312" width="6.1640625" style="4" customWidth="1"/>
    <col min="2313" max="2313" width="6.5546875" style="4" customWidth="1"/>
    <col min="2314" max="2314" width="6.71875" style="4" customWidth="1"/>
    <col min="2315" max="2560" width="9.1640625" style="4"/>
    <col min="2561" max="2561" width="12.71875" style="4" customWidth="1"/>
    <col min="2562" max="2562" width="6.83203125" style="4" customWidth="1"/>
    <col min="2563" max="2563" width="6.27734375" style="4" customWidth="1"/>
    <col min="2564" max="2564" width="6.1640625" style="4" customWidth="1"/>
    <col min="2565" max="2565" width="11.83203125" style="4" customWidth="1"/>
    <col min="2566" max="2567" width="4.83203125" style="4" customWidth="1"/>
    <col min="2568" max="2568" width="6.1640625" style="4" customWidth="1"/>
    <col min="2569" max="2569" width="6.5546875" style="4" customWidth="1"/>
    <col min="2570" max="2570" width="6.71875" style="4" customWidth="1"/>
    <col min="2571" max="2816" width="9.1640625" style="4"/>
    <col min="2817" max="2817" width="12.71875" style="4" customWidth="1"/>
    <col min="2818" max="2818" width="6.83203125" style="4" customWidth="1"/>
    <col min="2819" max="2819" width="6.27734375" style="4" customWidth="1"/>
    <col min="2820" max="2820" width="6.1640625" style="4" customWidth="1"/>
    <col min="2821" max="2821" width="11.83203125" style="4" customWidth="1"/>
    <col min="2822" max="2823" width="4.83203125" style="4" customWidth="1"/>
    <col min="2824" max="2824" width="6.1640625" style="4" customWidth="1"/>
    <col min="2825" max="2825" width="6.5546875" style="4" customWidth="1"/>
    <col min="2826" max="2826" width="6.71875" style="4" customWidth="1"/>
    <col min="2827" max="3072" width="9.1640625" style="4"/>
    <col min="3073" max="3073" width="12.71875" style="4" customWidth="1"/>
    <col min="3074" max="3074" width="6.83203125" style="4" customWidth="1"/>
    <col min="3075" max="3075" width="6.27734375" style="4" customWidth="1"/>
    <col min="3076" max="3076" width="6.1640625" style="4" customWidth="1"/>
    <col min="3077" max="3077" width="11.83203125" style="4" customWidth="1"/>
    <col min="3078" max="3079" width="4.83203125" style="4" customWidth="1"/>
    <col min="3080" max="3080" width="6.1640625" style="4" customWidth="1"/>
    <col min="3081" max="3081" width="6.5546875" style="4" customWidth="1"/>
    <col min="3082" max="3082" width="6.71875" style="4" customWidth="1"/>
    <col min="3083" max="3328" width="9.1640625" style="4"/>
    <col min="3329" max="3329" width="12.71875" style="4" customWidth="1"/>
    <col min="3330" max="3330" width="6.83203125" style="4" customWidth="1"/>
    <col min="3331" max="3331" width="6.27734375" style="4" customWidth="1"/>
    <col min="3332" max="3332" width="6.1640625" style="4" customWidth="1"/>
    <col min="3333" max="3333" width="11.83203125" style="4" customWidth="1"/>
    <col min="3334" max="3335" width="4.83203125" style="4" customWidth="1"/>
    <col min="3336" max="3336" width="6.1640625" style="4" customWidth="1"/>
    <col min="3337" max="3337" width="6.5546875" style="4" customWidth="1"/>
    <col min="3338" max="3338" width="6.71875" style="4" customWidth="1"/>
    <col min="3339" max="3584" width="9.1640625" style="4"/>
    <col min="3585" max="3585" width="12.71875" style="4" customWidth="1"/>
    <col min="3586" max="3586" width="6.83203125" style="4" customWidth="1"/>
    <col min="3587" max="3587" width="6.27734375" style="4" customWidth="1"/>
    <col min="3588" max="3588" width="6.1640625" style="4" customWidth="1"/>
    <col min="3589" max="3589" width="11.83203125" style="4" customWidth="1"/>
    <col min="3590" max="3591" width="4.83203125" style="4" customWidth="1"/>
    <col min="3592" max="3592" width="6.1640625" style="4" customWidth="1"/>
    <col min="3593" max="3593" width="6.5546875" style="4" customWidth="1"/>
    <col min="3594" max="3594" width="6.71875" style="4" customWidth="1"/>
    <col min="3595" max="3840" width="9.1640625" style="4"/>
    <col min="3841" max="3841" width="12.71875" style="4" customWidth="1"/>
    <col min="3842" max="3842" width="6.83203125" style="4" customWidth="1"/>
    <col min="3843" max="3843" width="6.27734375" style="4" customWidth="1"/>
    <col min="3844" max="3844" width="6.1640625" style="4" customWidth="1"/>
    <col min="3845" max="3845" width="11.83203125" style="4" customWidth="1"/>
    <col min="3846" max="3847" width="4.83203125" style="4" customWidth="1"/>
    <col min="3848" max="3848" width="6.1640625" style="4" customWidth="1"/>
    <col min="3849" max="3849" width="6.5546875" style="4" customWidth="1"/>
    <col min="3850" max="3850" width="6.71875" style="4" customWidth="1"/>
    <col min="3851" max="4096" width="9.1640625" style="4"/>
    <col min="4097" max="4097" width="12.71875" style="4" customWidth="1"/>
    <col min="4098" max="4098" width="6.83203125" style="4" customWidth="1"/>
    <col min="4099" max="4099" width="6.27734375" style="4" customWidth="1"/>
    <col min="4100" max="4100" width="6.1640625" style="4" customWidth="1"/>
    <col min="4101" max="4101" width="11.83203125" style="4" customWidth="1"/>
    <col min="4102" max="4103" width="4.83203125" style="4" customWidth="1"/>
    <col min="4104" max="4104" width="6.1640625" style="4" customWidth="1"/>
    <col min="4105" max="4105" width="6.5546875" style="4" customWidth="1"/>
    <col min="4106" max="4106" width="6.71875" style="4" customWidth="1"/>
    <col min="4107" max="4352" width="9.1640625" style="4"/>
    <col min="4353" max="4353" width="12.71875" style="4" customWidth="1"/>
    <col min="4354" max="4354" width="6.83203125" style="4" customWidth="1"/>
    <col min="4355" max="4355" width="6.27734375" style="4" customWidth="1"/>
    <col min="4356" max="4356" width="6.1640625" style="4" customWidth="1"/>
    <col min="4357" max="4357" width="11.83203125" style="4" customWidth="1"/>
    <col min="4358" max="4359" width="4.83203125" style="4" customWidth="1"/>
    <col min="4360" max="4360" width="6.1640625" style="4" customWidth="1"/>
    <col min="4361" max="4361" width="6.5546875" style="4" customWidth="1"/>
    <col min="4362" max="4362" width="6.71875" style="4" customWidth="1"/>
    <col min="4363" max="4608" width="9.1640625" style="4"/>
    <col min="4609" max="4609" width="12.71875" style="4" customWidth="1"/>
    <col min="4610" max="4610" width="6.83203125" style="4" customWidth="1"/>
    <col min="4611" max="4611" width="6.27734375" style="4" customWidth="1"/>
    <col min="4612" max="4612" width="6.1640625" style="4" customWidth="1"/>
    <col min="4613" max="4613" width="11.83203125" style="4" customWidth="1"/>
    <col min="4614" max="4615" width="4.83203125" style="4" customWidth="1"/>
    <col min="4616" max="4616" width="6.1640625" style="4" customWidth="1"/>
    <col min="4617" max="4617" width="6.5546875" style="4" customWidth="1"/>
    <col min="4618" max="4618" width="6.71875" style="4" customWidth="1"/>
    <col min="4619" max="4864" width="9.1640625" style="4"/>
    <col min="4865" max="4865" width="12.71875" style="4" customWidth="1"/>
    <col min="4866" max="4866" width="6.83203125" style="4" customWidth="1"/>
    <col min="4867" max="4867" width="6.27734375" style="4" customWidth="1"/>
    <col min="4868" max="4868" width="6.1640625" style="4" customWidth="1"/>
    <col min="4869" max="4869" width="11.83203125" style="4" customWidth="1"/>
    <col min="4870" max="4871" width="4.83203125" style="4" customWidth="1"/>
    <col min="4872" max="4872" width="6.1640625" style="4" customWidth="1"/>
    <col min="4873" max="4873" width="6.5546875" style="4" customWidth="1"/>
    <col min="4874" max="4874" width="6.71875" style="4" customWidth="1"/>
    <col min="4875" max="5120" width="9.1640625" style="4"/>
    <col min="5121" max="5121" width="12.71875" style="4" customWidth="1"/>
    <col min="5122" max="5122" width="6.83203125" style="4" customWidth="1"/>
    <col min="5123" max="5123" width="6.27734375" style="4" customWidth="1"/>
    <col min="5124" max="5124" width="6.1640625" style="4" customWidth="1"/>
    <col min="5125" max="5125" width="11.83203125" style="4" customWidth="1"/>
    <col min="5126" max="5127" width="4.83203125" style="4" customWidth="1"/>
    <col min="5128" max="5128" width="6.1640625" style="4" customWidth="1"/>
    <col min="5129" max="5129" width="6.5546875" style="4" customWidth="1"/>
    <col min="5130" max="5130" width="6.71875" style="4" customWidth="1"/>
    <col min="5131" max="5376" width="9.1640625" style="4"/>
    <col min="5377" max="5377" width="12.71875" style="4" customWidth="1"/>
    <col min="5378" max="5378" width="6.83203125" style="4" customWidth="1"/>
    <col min="5379" max="5379" width="6.27734375" style="4" customWidth="1"/>
    <col min="5380" max="5380" width="6.1640625" style="4" customWidth="1"/>
    <col min="5381" max="5381" width="11.83203125" style="4" customWidth="1"/>
    <col min="5382" max="5383" width="4.83203125" style="4" customWidth="1"/>
    <col min="5384" max="5384" width="6.1640625" style="4" customWidth="1"/>
    <col min="5385" max="5385" width="6.5546875" style="4" customWidth="1"/>
    <col min="5386" max="5386" width="6.71875" style="4" customWidth="1"/>
    <col min="5387" max="5632" width="9.1640625" style="4"/>
    <col min="5633" max="5633" width="12.71875" style="4" customWidth="1"/>
    <col min="5634" max="5634" width="6.83203125" style="4" customWidth="1"/>
    <col min="5635" max="5635" width="6.27734375" style="4" customWidth="1"/>
    <col min="5636" max="5636" width="6.1640625" style="4" customWidth="1"/>
    <col min="5637" max="5637" width="11.83203125" style="4" customWidth="1"/>
    <col min="5638" max="5639" width="4.83203125" style="4" customWidth="1"/>
    <col min="5640" max="5640" width="6.1640625" style="4" customWidth="1"/>
    <col min="5641" max="5641" width="6.5546875" style="4" customWidth="1"/>
    <col min="5642" max="5642" width="6.71875" style="4" customWidth="1"/>
    <col min="5643" max="5888" width="9.1640625" style="4"/>
    <col min="5889" max="5889" width="12.71875" style="4" customWidth="1"/>
    <col min="5890" max="5890" width="6.83203125" style="4" customWidth="1"/>
    <col min="5891" max="5891" width="6.27734375" style="4" customWidth="1"/>
    <col min="5892" max="5892" width="6.1640625" style="4" customWidth="1"/>
    <col min="5893" max="5893" width="11.83203125" style="4" customWidth="1"/>
    <col min="5894" max="5895" width="4.83203125" style="4" customWidth="1"/>
    <col min="5896" max="5896" width="6.1640625" style="4" customWidth="1"/>
    <col min="5897" max="5897" width="6.5546875" style="4" customWidth="1"/>
    <col min="5898" max="5898" width="6.71875" style="4" customWidth="1"/>
    <col min="5899" max="6144" width="9.1640625" style="4"/>
    <col min="6145" max="6145" width="12.71875" style="4" customWidth="1"/>
    <col min="6146" max="6146" width="6.83203125" style="4" customWidth="1"/>
    <col min="6147" max="6147" width="6.27734375" style="4" customWidth="1"/>
    <col min="6148" max="6148" width="6.1640625" style="4" customWidth="1"/>
    <col min="6149" max="6149" width="11.83203125" style="4" customWidth="1"/>
    <col min="6150" max="6151" width="4.83203125" style="4" customWidth="1"/>
    <col min="6152" max="6152" width="6.1640625" style="4" customWidth="1"/>
    <col min="6153" max="6153" width="6.5546875" style="4" customWidth="1"/>
    <col min="6154" max="6154" width="6.71875" style="4" customWidth="1"/>
    <col min="6155" max="6400" width="9.1640625" style="4"/>
    <col min="6401" max="6401" width="12.71875" style="4" customWidth="1"/>
    <col min="6402" max="6402" width="6.83203125" style="4" customWidth="1"/>
    <col min="6403" max="6403" width="6.27734375" style="4" customWidth="1"/>
    <col min="6404" max="6404" width="6.1640625" style="4" customWidth="1"/>
    <col min="6405" max="6405" width="11.83203125" style="4" customWidth="1"/>
    <col min="6406" max="6407" width="4.83203125" style="4" customWidth="1"/>
    <col min="6408" max="6408" width="6.1640625" style="4" customWidth="1"/>
    <col min="6409" max="6409" width="6.5546875" style="4" customWidth="1"/>
    <col min="6410" max="6410" width="6.71875" style="4" customWidth="1"/>
    <col min="6411" max="6656" width="9.1640625" style="4"/>
    <col min="6657" max="6657" width="12.71875" style="4" customWidth="1"/>
    <col min="6658" max="6658" width="6.83203125" style="4" customWidth="1"/>
    <col min="6659" max="6659" width="6.27734375" style="4" customWidth="1"/>
    <col min="6660" max="6660" width="6.1640625" style="4" customWidth="1"/>
    <col min="6661" max="6661" width="11.83203125" style="4" customWidth="1"/>
    <col min="6662" max="6663" width="4.83203125" style="4" customWidth="1"/>
    <col min="6664" max="6664" width="6.1640625" style="4" customWidth="1"/>
    <col min="6665" max="6665" width="6.5546875" style="4" customWidth="1"/>
    <col min="6666" max="6666" width="6.71875" style="4" customWidth="1"/>
    <col min="6667" max="6912" width="9.1640625" style="4"/>
    <col min="6913" max="6913" width="12.71875" style="4" customWidth="1"/>
    <col min="6914" max="6914" width="6.83203125" style="4" customWidth="1"/>
    <col min="6915" max="6915" width="6.27734375" style="4" customWidth="1"/>
    <col min="6916" max="6916" width="6.1640625" style="4" customWidth="1"/>
    <col min="6917" max="6917" width="11.83203125" style="4" customWidth="1"/>
    <col min="6918" max="6919" width="4.83203125" style="4" customWidth="1"/>
    <col min="6920" max="6920" width="6.1640625" style="4" customWidth="1"/>
    <col min="6921" max="6921" width="6.5546875" style="4" customWidth="1"/>
    <col min="6922" max="6922" width="6.71875" style="4" customWidth="1"/>
    <col min="6923" max="7168" width="9.1640625" style="4"/>
    <col min="7169" max="7169" width="12.71875" style="4" customWidth="1"/>
    <col min="7170" max="7170" width="6.83203125" style="4" customWidth="1"/>
    <col min="7171" max="7171" width="6.27734375" style="4" customWidth="1"/>
    <col min="7172" max="7172" width="6.1640625" style="4" customWidth="1"/>
    <col min="7173" max="7173" width="11.83203125" style="4" customWidth="1"/>
    <col min="7174" max="7175" width="4.83203125" style="4" customWidth="1"/>
    <col min="7176" max="7176" width="6.1640625" style="4" customWidth="1"/>
    <col min="7177" max="7177" width="6.5546875" style="4" customWidth="1"/>
    <col min="7178" max="7178" width="6.71875" style="4" customWidth="1"/>
    <col min="7179" max="7424" width="9.1640625" style="4"/>
    <col min="7425" max="7425" width="12.71875" style="4" customWidth="1"/>
    <col min="7426" max="7426" width="6.83203125" style="4" customWidth="1"/>
    <col min="7427" max="7427" width="6.27734375" style="4" customWidth="1"/>
    <col min="7428" max="7428" width="6.1640625" style="4" customWidth="1"/>
    <col min="7429" max="7429" width="11.83203125" style="4" customWidth="1"/>
    <col min="7430" max="7431" width="4.83203125" style="4" customWidth="1"/>
    <col min="7432" max="7432" width="6.1640625" style="4" customWidth="1"/>
    <col min="7433" max="7433" width="6.5546875" style="4" customWidth="1"/>
    <col min="7434" max="7434" width="6.71875" style="4" customWidth="1"/>
    <col min="7435" max="7680" width="9.1640625" style="4"/>
    <col min="7681" max="7681" width="12.71875" style="4" customWidth="1"/>
    <col min="7682" max="7682" width="6.83203125" style="4" customWidth="1"/>
    <col min="7683" max="7683" width="6.27734375" style="4" customWidth="1"/>
    <col min="7684" max="7684" width="6.1640625" style="4" customWidth="1"/>
    <col min="7685" max="7685" width="11.83203125" style="4" customWidth="1"/>
    <col min="7686" max="7687" width="4.83203125" style="4" customWidth="1"/>
    <col min="7688" max="7688" width="6.1640625" style="4" customWidth="1"/>
    <col min="7689" max="7689" width="6.5546875" style="4" customWidth="1"/>
    <col min="7690" max="7690" width="6.71875" style="4" customWidth="1"/>
    <col min="7691" max="7936" width="9.1640625" style="4"/>
    <col min="7937" max="7937" width="12.71875" style="4" customWidth="1"/>
    <col min="7938" max="7938" width="6.83203125" style="4" customWidth="1"/>
    <col min="7939" max="7939" width="6.27734375" style="4" customWidth="1"/>
    <col min="7940" max="7940" width="6.1640625" style="4" customWidth="1"/>
    <col min="7941" max="7941" width="11.83203125" style="4" customWidth="1"/>
    <col min="7942" max="7943" width="4.83203125" style="4" customWidth="1"/>
    <col min="7944" max="7944" width="6.1640625" style="4" customWidth="1"/>
    <col min="7945" max="7945" width="6.5546875" style="4" customWidth="1"/>
    <col min="7946" max="7946" width="6.71875" style="4" customWidth="1"/>
    <col min="7947" max="8192" width="9.1640625" style="4"/>
    <col min="8193" max="8193" width="12.71875" style="4" customWidth="1"/>
    <col min="8194" max="8194" width="6.83203125" style="4" customWidth="1"/>
    <col min="8195" max="8195" width="6.27734375" style="4" customWidth="1"/>
    <col min="8196" max="8196" width="6.1640625" style="4" customWidth="1"/>
    <col min="8197" max="8197" width="11.83203125" style="4" customWidth="1"/>
    <col min="8198" max="8199" width="4.83203125" style="4" customWidth="1"/>
    <col min="8200" max="8200" width="6.1640625" style="4" customWidth="1"/>
    <col min="8201" max="8201" width="6.5546875" style="4" customWidth="1"/>
    <col min="8202" max="8202" width="6.71875" style="4" customWidth="1"/>
    <col min="8203" max="8448" width="9.1640625" style="4"/>
    <col min="8449" max="8449" width="12.71875" style="4" customWidth="1"/>
    <col min="8450" max="8450" width="6.83203125" style="4" customWidth="1"/>
    <col min="8451" max="8451" width="6.27734375" style="4" customWidth="1"/>
    <col min="8452" max="8452" width="6.1640625" style="4" customWidth="1"/>
    <col min="8453" max="8453" width="11.83203125" style="4" customWidth="1"/>
    <col min="8454" max="8455" width="4.83203125" style="4" customWidth="1"/>
    <col min="8456" max="8456" width="6.1640625" style="4" customWidth="1"/>
    <col min="8457" max="8457" width="6.5546875" style="4" customWidth="1"/>
    <col min="8458" max="8458" width="6.71875" style="4" customWidth="1"/>
    <col min="8459" max="8704" width="9.1640625" style="4"/>
    <col min="8705" max="8705" width="12.71875" style="4" customWidth="1"/>
    <col min="8706" max="8706" width="6.83203125" style="4" customWidth="1"/>
    <col min="8707" max="8707" width="6.27734375" style="4" customWidth="1"/>
    <col min="8708" max="8708" width="6.1640625" style="4" customWidth="1"/>
    <col min="8709" max="8709" width="11.83203125" style="4" customWidth="1"/>
    <col min="8710" max="8711" width="4.83203125" style="4" customWidth="1"/>
    <col min="8712" max="8712" width="6.1640625" style="4" customWidth="1"/>
    <col min="8713" max="8713" width="6.5546875" style="4" customWidth="1"/>
    <col min="8714" max="8714" width="6.71875" style="4" customWidth="1"/>
    <col min="8715" max="8960" width="9.1640625" style="4"/>
    <col min="8961" max="8961" width="12.71875" style="4" customWidth="1"/>
    <col min="8962" max="8962" width="6.83203125" style="4" customWidth="1"/>
    <col min="8963" max="8963" width="6.27734375" style="4" customWidth="1"/>
    <col min="8964" max="8964" width="6.1640625" style="4" customWidth="1"/>
    <col min="8965" max="8965" width="11.83203125" style="4" customWidth="1"/>
    <col min="8966" max="8967" width="4.83203125" style="4" customWidth="1"/>
    <col min="8968" max="8968" width="6.1640625" style="4" customWidth="1"/>
    <col min="8969" max="8969" width="6.5546875" style="4" customWidth="1"/>
    <col min="8970" max="8970" width="6.71875" style="4" customWidth="1"/>
    <col min="8971" max="9216" width="9.1640625" style="4"/>
    <col min="9217" max="9217" width="12.71875" style="4" customWidth="1"/>
    <col min="9218" max="9218" width="6.83203125" style="4" customWidth="1"/>
    <col min="9219" max="9219" width="6.27734375" style="4" customWidth="1"/>
    <col min="9220" max="9220" width="6.1640625" style="4" customWidth="1"/>
    <col min="9221" max="9221" width="11.83203125" style="4" customWidth="1"/>
    <col min="9222" max="9223" width="4.83203125" style="4" customWidth="1"/>
    <col min="9224" max="9224" width="6.1640625" style="4" customWidth="1"/>
    <col min="9225" max="9225" width="6.5546875" style="4" customWidth="1"/>
    <col min="9226" max="9226" width="6.71875" style="4" customWidth="1"/>
    <col min="9227" max="9472" width="9.1640625" style="4"/>
    <col min="9473" max="9473" width="12.71875" style="4" customWidth="1"/>
    <col min="9474" max="9474" width="6.83203125" style="4" customWidth="1"/>
    <col min="9475" max="9475" width="6.27734375" style="4" customWidth="1"/>
    <col min="9476" max="9476" width="6.1640625" style="4" customWidth="1"/>
    <col min="9477" max="9477" width="11.83203125" style="4" customWidth="1"/>
    <col min="9478" max="9479" width="4.83203125" style="4" customWidth="1"/>
    <col min="9480" max="9480" width="6.1640625" style="4" customWidth="1"/>
    <col min="9481" max="9481" width="6.5546875" style="4" customWidth="1"/>
    <col min="9482" max="9482" width="6.71875" style="4" customWidth="1"/>
    <col min="9483" max="9728" width="9.1640625" style="4"/>
    <col min="9729" max="9729" width="12.71875" style="4" customWidth="1"/>
    <col min="9730" max="9730" width="6.83203125" style="4" customWidth="1"/>
    <col min="9731" max="9731" width="6.27734375" style="4" customWidth="1"/>
    <col min="9732" max="9732" width="6.1640625" style="4" customWidth="1"/>
    <col min="9733" max="9733" width="11.83203125" style="4" customWidth="1"/>
    <col min="9734" max="9735" width="4.83203125" style="4" customWidth="1"/>
    <col min="9736" max="9736" width="6.1640625" style="4" customWidth="1"/>
    <col min="9737" max="9737" width="6.5546875" style="4" customWidth="1"/>
    <col min="9738" max="9738" width="6.71875" style="4" customWidth="1"/>
    <col min="9739" max="9984" width="9.1640625" style="4"/>
    <col min="9985" max="9985" width="12.71875" style="4" customWidth="1"/>
    <col min="9986" max="9986" width="6.83203125" style="4" customWidth="1"/>
    <col min="9987" max="9987" width="6.27734375" style="4" customWidth="1"/>
    <col min="9988" max="9988" width="6.1640625" style="4" customWidth="1"/>
    <col min="9989" max="9989" width="11.83203125" style="4" customWidth="1"/>
    <col min="9990" max="9991" width="4.83203125" style="4" customWidth="1"/>
    <col min="9992" max="9992" width="6.1640625" style="4" customWidth="1"/>
    <col min="9993" max="9993" width="6.5546875" style="4" customWidth="1"/>
    <col min="9994" max="9994" width="6.71875" style="4" customWidth="1"/>
    <col min="9995" max="10240" width="9.1640625" style="4"/>
    <col min="10241" max="10241" width="12.71875" style="4" customWidth="1"/>
    <col min="10242" max="10242" width="6.83203125" style="4" customWidth="1"/>
    <col min="10243" max="10243" width="6.27734375" style="4" customWidth="1"/>
    <col min="10244" max="10244" width="6.1640625" style="4" customWidth="1"/>
    <col min="10245" max="10245" width="11.83203125" style="4" customWidth="1"/>
    <col min="10246" max="10247" width="4.83203125" style="4" customWidth="1"/>
    <col min="10248" max="10248" width="6.1640625" style="4" customWidth="1"/>
    <col min="10249" max="10249" width="6.5546875" style="4" customWidth="1"/>
    <col min="10250" max="10250" width="6.71875" style="4" customWidth="1"/>
    <col min="10251" max="10496" width="9.1640625" style="4"/>
    <col min="10497" max="10497" width="12.71875" style="4" customWidth="1"/>
    <col min="10498" max="10498" width="6.83203125" style="4" customWidth="1"/>
    <col min="10499" max="10499" width="6.27734375" style="4" customWidth="1"/>
    <col min="10500" max="10500" width="6.1640625" style="4" customWidth="1"/>
    <col min="10501" max="10501" width="11.83203125" style="4" customWidth="1"/>
    <col min="10502" max="10503" width="4.83203125" style="4" customWidth="1"/>
    <col min="10504" max="10504" width="6.1640625" style="4" customWidth="1"/>
    <col min="10505" max="10505" width="6.5546875" style="4" customWidth="1"/>
    <col min="10506" max="10506" width="6.71875" style="4" customWidth="1"/>
    <col min="10507" max="10752" width="9.1640625" style="4"/>
    <col min="10753" max="10753" width="12.71875" style="4" customWidth="1"/>
    <col min="10754" max="10754" width="6.83203125" style="4" customWidth="1"/>
    <col min="10755" max="10755" width="6.27734375" style="4" customWidth="1"/>
    <col min="10756" max="10756" width="6.1640625" style="4" customWidth="1"/>
    <col min="10757" max="10757" width="11.83203125" style="4" customWidth="1"/>
    <col min="10758" max="10759" width="4.83203125" style="4" customWidth="1"/>
    <col min="10760" max="10760" width="6.1640625" style="4" customWidth="1"/>
    <col min="10761" max="10761" width="6.5546875" style="4" customWidth="1"/>
    <col min="10762" max="10762" width="6.71875" style="4" customWidth="1"/>
    <col min="10763" max="11008" width="9.1640625" style="4"/>
    <col min="11009" max="11009" width="12.71875" style="4" customWidth="1"/>
    <col min="11010" max="11010" width="6.83203125" style="4" customWidth="1"/>
    <col min="11011" max="11011" width="6.27734375" style="4" customWidth="1"/>
    <col min="11012" max="11012" width="6.1640625" style="4" customWidth="1"/>
    <col min="11013" max="11013" width="11.83203125" style="4" customWidth="1"/>
    <col min="11014" max="11015" width="4.83203125" style="4" customWidth="1"/>
    <col min="11016" max="11016" width="6.1640625" style="4" customWidth="1"/>
    <col min="11017" max="11017" width="6.5546875" style="4" customWidth="1"/>
    <col min="11018" max="11018" width="6.71875" style="4" customWidth="1"/>
    <col min="11019" max="11264" width="9.1640625" style="4"/>
    <col min="11265" max="11265" width="12.71875" style="4" customWidth="1"/>
    <col min="11266" max="11266" width="6.83203125" style="4" customWidth="1"/>
    <col min="11267" max="11267" width="6.27734375" style="4" customWidth="1"/>
    <col min="11268" max="11268" width="6.1640625" style="4" customWidth="1"/>
    <col min="11269" max="11269" width="11.83203125" style="4" customWidth="1"/>
    <col min="11270" max="11271" width="4.83203125" style="4" customWidth="1"/>
    <col min="11272" max="11272" width="6.1640625" style="4" customWidth="1"/>
    <col min="11273" max="11273" width="6.5546875" style="4" customWidth="1"/>
    <col min="11274" max="11274" width="6.71875" style="4" customWidth="1"/>
    <col min="11275" max="11520" width="9.1640625" style="4"/>
    <col min="11521" max="11521" width="12.71875" style="4" customWidth="1"/>
    <col min="11522" max="11522" width="6.83203125" style="4" customWidth="1"/>
    <col min="11523" max="11523" width="6.27734375" style="4" customWidth="1"/>
    <col min="11524" max="11524" width="6.1640625" style="4" customWidth="1"/>
    <col min="11525" max="11525" width="11.83203125" style="4" customWidth="1"/>
    <col min="11526" max="11527" width="4.83203125" style="4" customWidth="1"/>
    <col min="11528" max="11528" width="6.1640625" style="4" customWidth="1"/>
    <col min="11529" max="11529" width="6.5546875" style="4" customWidth="1"/>
    <col min="11530" max="11530" width="6.71875" style="4" customWidth="1"/>
    <col min="11531" max="11776" width="9.1640625" style="4"/>
    <col min="11777" max="11777" width="12.71875" style="4" customWidth="1"/>
    <col min="11778" max="11778" width="6.83203125" style="4" customWidth="1"/>
    <col min="11779" max="11779" width="6.27734375" style="4" customWidth="1"/>
    <col min="11780" max="11780" width="6.1640625" style="4" customWidth="1"/>
    <col min="11781" max="11781" width="11.83203125" style="4" customWidth="1"/>
    <col min="11782" max="11783" width="4.83203125" style="4" customWidth="1"/>
    <col min="11784" max="11784" width="6.1640625" style="4" customWidth="1"/>
    <col min="11785" max="11785" width="6.5546875" style="4" customWidth="1"/>
    <col min="11786" max="11786" width="6.71875" style="4" customWidth="1"/>
    <col min="11787" max="12032" width="9.1640625" style="4"/>
    <col min="12033" max="12033" width="12.71875" style="4" customWidth="1"/>
    <col min="12034" max="12034" width="6.83203125" style="4" customWidth="1"/>
    <col min="12035" max="12035" width="6.27734375" style="4" customWidth="1"/>
    <col min="12036" max="12036" width="6.1640625" style="4" customWidth="1"/>
    <col min="12037" max="12037" width="11.83203125" style="4" customWidth="1"/>
    <col min="12038" max="12039" width="4.83203125" style="4" customWidth="1"/>
    <col min="12040" max="12040" width="6.1640625" style="4" customWidth="1"/>
    <col min="12041" max="12041" width="6.5546875" style="4" customWidth="1"/>
    <col min="12042" max="12042" width="6.71875" style="4" customWidth="1"/>
    <col min="12043" max="12288" width="9.1640625" style="4"/>
    <col min="12289" max="12289" width="12.71875" style="4" customWidth="1"/>
    <col min="12290" max="12290" width="6.83203125" style="4" customWidth="1"/>
    <col min="12291" max="12291" width="6.27734375" style="4" customWidth="1"/>
    <col min="12292" max="12292" width="6.1640625" style="4" customWidth="1"/>
    <col min="12293" max="12293" width="11.83203125" style="4" customWidth="1"/>
    <col min="12294" max="12295" width="4.83203125" style="4" customWidth="1"/>
    <col min="12296" max="12296" width="6.1640625" style="4" customWidth="1"/>
    <col min="12297" max="12297" width="6.5546875" style="4" customWidth="1"/>
    <col min="12298" max="12298" width="6.71875" style="4" customWidth="1"/>
    <col min="12299" max="12544" width="9.1640625" style="4"/>
    <col min="12545" max="12545" width="12.71875" style="4" customWidth="1"/>
    <col min="12546" max="12546" width="6.83203125" style="4" customWidth="1"/>
    <col min="12547" max="12547" width="6.27734375" style="4" customWidth="1"/>
    <col min="12548" max="12548" width="6.1640625" style="4" customWidth="1"/>
    <col min="12549" max="12549" width="11.83203125" style="4" customWidth="1"/>
    <col min="12550" max="12551" width="4.83203125" style="4" customWidth="1"/>
    <col min="12552" max="12552" width="6.1640625" style="4" customWidth="1"/>
    <col min="12553" max="12553" width="6.5546875" style="4" customWidth="1"/>
    <col min="12554" max="12554" width="6.71875" style="4" customWidth="1"/>
    <col min="12555" max="12800" width="9.1640625" style="4"/>
    <col min="12801" max="12801" width="12.71875" style="4" customWidth="1"/>
    <col min="12802" max="12802" width="6.83203125" style="4" customWidth="1"/>
    <col min="12803" max="12803" width="6.27734375" style="4" customWidth="1"/>
    <col min="12804" max="12804" width="6.1640625" style="4" customWidth="1"/>
    <col min="12805" max="12805" width="11.83203125" style="4" customWidth="1"/>
    <col min="12806" max="12807" width="4.83203125" style="4" customWidth="1"/>
    <col min="12808" max="12808" width="6.1640625" style="4" customWidth="1"/>
    <col min="12809" max="12809" width="6.5546875" style="4" customWidth="1"/>
    <col min="12810" max="12810" width="6.71875" style="4" customWidth="1"/>
    <col min="12811" max="13056" width="9.1640625" style="4"/>
    <col min="13057" max="13057" width="12.71875" style="4" customWidth="1"/>
    <col min="13058" max="13058" width="6.83203125" style="4" customWidth="1"/>
    <col min="13059" max="13059" width="6.27734375" style="4" customWidth="1"/>
    <col min="13060" max="13060" width="6.1640625" style="4" customWidth="1"/>
    <col min="13061" max="13061" width="11.83203125" style="4" customWidth="1"/>
    <col min="13062" max="13063" width="4.83203125" style="4" customWidth="1"/>
    <col min="13064" max="13064" width="6.1640625" style="4" customWidth="1"/>
    <col min="13065" max="13065" width="6.5546875" style="4" customWidth="1"/>
    <col min="13066" max="13066" width="6.71875" style="4" customWidth="1"/>
    <col min="13067" max="13312" width="9.1640625" style="4"/>
    <col min="13313" max="13313" width="12.71875" style="4" customWidth="1"/>
    <col min="13314" max="13314" width="6.83203125" style="4" customWidth="1"/>
    <col min="13315" max="13315" width="6.27734375" style="4" customWidth="1"/>
    <col min="13316" max="13316" width="6.1640625" style="4" customWidth="1"/>
    <col min="13317" max="13317" width="11.83203125" style="4" customWidth="1"/>
    <col min="13318" max="13319" width="4.83203125" style="4" customWidth="1"/>
    <col min="13320" max="13320" width="6.1640625" style="4" customWidth="1"/>
    <col min="13321" max="13321" width="6.5546875" style="4" customWidth="1"/>
    <col min="13322" max="13322" width="6.71875" style="4" customWidth="1"/>
    <col min="13323" max="13568" width="9.1640625" style="4"/>
    <col min="13569" max="13569" width="12.71875" style="4" customWidth="1"/>
    <col min="13570" max="13570" width="6.83203125" style="4" customWidth="1"/>
    <col min="13571" max="13571" width="6.27734375" style="4" customWidth="1"/>
    <col min="13572" max="13572" width="6.1640625" style="4" customWidth="1"/>
    <col min="13573" max="13573" width="11.83203125" style="4" customWidth="1"/>
    <col min="13574" max="13575" width="4.83203125" style="4" customWidth="1"/>
    <col min="13576" max="13576" width="6.1640625" style="4" customWidth="1"/>
    <col min="13577" max="13577" width="6.5546875" style="4" customWidth="1"/>
    <col min="13578" max="13578" width="6.71875" style="4" customWidth="1"/>
    <col min="13579" max="13824" width="9.1640625" style="4"/>
    <col min="13825" max="13825" width="12.71875" style="4" customWidth="1"/>
    <col min="13826" max="13826" width="6.83203125" style="4" customWidth="1"/>
    <col min="13827" max="13827" width="6.27734375" style="4" customWidth="1"/>
    <col min="13828" max="13828" width="6.1640625" style="4" customWidth="1"/>
    <col min="13829" max="13829" width="11.83203125" style="4" customWidth="1"/>
    <col min="13830" max="13831" width="4.83203125" style="4" customWidth="1"/>
    <col min="13832" max="13832" width="6.1640625" style="4" customWidth="1"/>
    <col min="13833" max="13833" width="6.5546875" style="4" customWidth="1"/>
    <col min="13834" max="13834" width="6.71875" style="4" customWidth="1"/>
    <col min="13835" max="14080" width="9.1640625" style="4"/>
    <col min="14081" max="14081" width="12.71875" style="4" customWidth="1"/>
    <col min="14082" max="14082" width="6.83203125" style="4" customWidth="1"/>
    <col min="14083" max="14083" width="6.27734375" style="4" customWidth="1"/>
    <col min="14084" max="14084" width="6.1640625" style="4" customWidth="1"/>
    <col min="14085" max="14085" width="11.83203125" style="4" customWidth="1"/>
    <col min="14086" max="14087" width="4.83203125" style="4" customWidth="1"/>
    <col min="14088" max="14088" width="6.1640625" style="4" customWidth="1"/>
    <col min="14089" max="14089" width="6.5546875" style="4" customWidth="1"/>
    <col min="14090" max="14090" width="6.71875" style="4" customWidth="1"/>
    <col min="14091" max="14336" width="9.1640625" style="4"/>
    <col min="14337" max="14337" width="12.71875" style="4" customWidth="1"/>
    <col min="14338" max="14338" width="6.83203125" style="4" customWidth="1"/>
    <col min="14339" max="14339" width="6.27734375" style="4" customWidth="1"/>
    <col min="14340" max="14340" width="6.1640625" style="4" customWidth="1"/>
    <col min="14341" max="14341" width="11.83203125" style="4" customWidth="1"/>
    <col min="14342" max="14343" width="4.83203125" style="4" customWidth="1"/>
    <col min="14344" max="14344" width="6.1640625" style="4" customWidth="1"/>
    <col min="14345" max="14345" width="6.5546875" style="4" customWidth="1"/>
    <col min="14346" max="14346" width="6.71875" style="4" customWidth="1"/>
    <col min="14347" max="14592" width="9.1640625" style="4"/>
    <col min="14593" max="14593" width="12.71875" style="4" customWidth="1"/>
    <col min="14594" max="14594" width="6.83203125" style="4" customWidth="1"/>
    <col min="14595" max="14595" width="6.27734375" style="4" customWidth="1"/>
    <col min="14596" max="14596" width="6.1640625" style="4" customWidth="1"/>
    <col min="14597" max="14597" width="11.83203125" style="4" customWidth="1"/>
    <col min="14598" max="14599" width="4.83203125" style="4" customWidth="1"/>
    <col min="14600" max="14600" width="6.1640625" style="4" customWidth="1"/>
    <col min="14601" max="14601" width="6.5546875" style="4" customWidth="1"/>
    <col min="14602" max="14602" width="6.71875" style="4" customWidth="1"/>
    <col min="14603" max="14848" width="9.1640625" style="4"/>
    <col min="14849" max="14849" width="12.71875" style="4" customWidth="1"/>
    <col min="14850" max="14850" width="6.83203125" style="4" customWidth="1"/>
    <col min="14851" max="14851" width="6.27734375" style="4" customWidth="1"/>
    <col min="14852" max="14852" width="6.1640625" style="4" customWidth="1"/>
    <col min="14853" max="14853" width="11.83203125" style="4" customWidth="1"/>
    <col min="14854" max="14855" width="4.83203125" style="4" customWidth="1"/>
    <col min="14856" max="14856" width="6.1640625" style="4" customWidth="1"/>
    <col min="14857" max="14857" width="6.5546875" style="4" customWidth="1"/>
    <col min="14858" max="14858" width="6.71875" style="4" customWidth="1"/>
    <col min="14859" max="15104" width="9.1640625" style="4"/>
    <col min="15105" max="15105" width="12.71875" style="4" customWidth="1"/>
    <col min="15106" max="15106" width="6.83203125" style="4" customWidth="1"/>
    <col min="15107" max="15107" width="6.27734375" style="4" customWidth="1"/>
    <col min="15108" max="15108" width="6.1640625" style="4" customWidth="1"/>
    <col min="15109" max="15109" width="11.83203125" style="4" customWidth="1"/>
    <col min="15110" max="15111" width="4.83203125" style="4" customWidth="1"/>
    <col min="15112" max="15112" width="6.1640625" style="4" customWidth="1"/>
    <col min="15113" max="15113" width="6.5546875" style="4" customWidth="1"/>
    <col min="15114" max="15114" width="6.71875" style="4" customWidth="1"/>
    <col min="15115" max="15360" width="9.1640625" style="4"/>
    <col min="15361" max="15361" width="12.71875" style="4" customWidth="1"/>
    <col min="15362" max="15362" width="6.83203125" style="4" customWidth="1"/>
    <col min="15363" max="15363" width="6.27734375" style="4" customWidth="1"/>
    <col min="15364" max="15364" width="6.1640625" style="4" customWidth="1"/>
    <col min="15365" max="15365" width="11.83203125" style="4" customWidth="1"/>
    <col min="15366" max="15367" width="4.83203125" style="4" customWidth="1"/>
    <col min="15368" max="15368" width="6.1640625" style="4" customWidth="1"/>
    <col min="15369" max="15369" width="6.5546875" style="4" customWidth="1"/>
    <col min="15370" max="15370" width="6.71875" style="4" customWidth="1"/>
    <col min="15371" max="15616" width="9.1640625" style="4"/>
    <col min="15617" max="15617" width="12.71875" style="4" customWidth="1"/>
    <col min="15618" max="15618" width="6.83203125" style="4" customWidth="1"/>
    <col min="15619" max="15619" width="6.27734375" style="4" customWidth="1"/>
    <col min="15620" max="15620" width="6.1640625" style="4" customWidth="1"/>
    <col min="15621" max="15621" width="11.83203125" style="4" customWidth="1"/>
    <col min="15622" max="15623" width="4.83203125" style="4" customWidth="1"/>
    <col min="15624" max="15624" width="6.1640625" style="4" customWidth="1"/>
    <col min="15625" max="15625" width="6.5546875" style="4" customWidth="1"/>
    <col min="15626" max="15626" width="6.71875" style="4" customWidth="1"/>
    <col min="15627" max="15872" width="9.1640625" style="4"/>
    <col min="15873" max="15873" width="12.71875" style="4" customWidth="1"/>
    <col min="15874" max="15874" width="6.83203125" style="4" customWidth="1"/>
    <col min="15875" max="15875" width="6.27734375" style="4" customWidth="1"/>
    <col min="15876" max="15876" width="6.1640625" style="4" customWidth="1"/>
    <col min="15877" max="15877" width="11.83203125" style="4" customWidth="1"/>
    <col min="15878" max="15879" width="4.83203125" style="4" customWidth="1"/>
    <col min="15880" max="15880" width="6.1640625" style="4" customWidth="1"/>
    <col min="15881" max="15881" width="6.5546875" style="4" customWidth="1"/>
    <col min="15882" max="15882" width="6.71875" style="4" customWidth="1"/>
    <col min="15883" max="16128" width="9.1640625" style="4"/>
    <col min="16129" max="16129" width="12.71875" style="4" customWidth="1"/>
    <col min="16130" max="16130" width="6.83203125" style="4" customWidth="1"/>
    <col min="16131" max="16131" width="6.27734375" style="4" customWidth="1"/>
    <col min="16132" max="16132" width="6.1640625" style="4" customWidth="1"/>
    <col min="16133" max="16133" width="11.83203125" style="4" customWidth="1"/>
    <col min="16134" max="16135" width="4.83203125" style="4" customWidth="1"/>
    <col min="16136" max="16136" width="6.1640625" style="4" customWidth="1"/>
    <col min="16137" max="16137" width="6.5546875" style="4" customWidth="1"/>
    <col min="16138" max="16138" width="6.71875" style="4" customWidth="1"/>
    <col min="16139" max="16384" width="9.1640625" style="4"/>
  </cols>
  <sheetData>
    <row r="1" spans="1:7" ht="15" x14ac:dyDescent="0.5">
      <c r="A1" s="3" t="s">
        <v>97</v>
      </c>
      <c r="B1" s="5"/>
    </row>
    <row r="2" spans="1:7" ht="15" x14ac:dyDescent="0.5">
      <c r="A2" s="3" t="s">
        <v>98</v>
      </c>
      <c r="B2" s="5"/>
    </row>
    <row r="3" spans="1:7" x14ac:dyDescent="0.4">
      <c r="A3" s="3" t="s">
        <v>99</v>
      </c>
      <c r="B3" s="10"/>
    </row>
    <row r="4" spans="1:7" x14ac:dyDescent="0.4">
      <c r="A4" s="3"/>
      <c r="B4" s="10"/>
    </row>
    <row r="5" spans="1:7" x14ac:dyDescent="0.4">
      <c r="A5" s="3" t="s">
        <v>100</v>
      </c>
      <c r="B5" s="10" t="s">
        <v>101</v>
      </c>
      <c r="C5" s="10" t="s">
        <v>102</v>
      </c>
      <c r="D5" s="10" t="s">
        <v>103</v>
      </c>
      <c r="E5" s="10" t="s">
        <v>104</v>
      </c>
      <c r="F5" s="10" t="s">
        <v>105</v>
      </c>
      <c r="G5" s="10" t="s">
        <v>106</v>
      </c>
    </row>
    <row r="6" spans="1:7" x14ac:dyDescent="0.4">
      <c r="A6" s="38" t="s">
        <v>107</v>
      </c>
      <c r="B6" s="10">
        <v>102</v>
      </c>
      <c r="C6" s="4">
        <v>51</v>
      </c>
      <c r="D6" s="4">
        <v>84</v>
      </c>
      <c r="E6" s="4">
        <v>70</v>
      </c>
      <c r="F6" s="15">
        <v>110</v>
      </c>
      <c r="G6" s="15">
        <v>91</v>
      </c>
    </row>
    <row r="7" spans="1:7" x14ac:dyDescent="0.4">
      <c r="A7" s="10"/>
      <c r="B7" s="36"/>
    </row>
    <row r="8" spans="1:7" x14ac:dyDescent="0.4">
      <c r="A8" s="10"/>
      <c r="B8" s="36"/>
    </row>
    <row r="9" spans="1:7" x14ac:dyDescent="0.4">
      <c r="A9" s="10" t="s">
        <v>116</v>
      </c>
    </row>
    <row r="10" spans="1:7" x14ac:dyDescent="0.4">
      <c r="A10" s="10" t="s">
        <v>108</v>
      </c>
    </row>
    <row r="11" spans="1:7" x14ac:dyDescent="0.4">
      <c r="A11" s="10" t="s">
        <v>109</v>
      </c>
    </row>
    <row r="12" spans="1:7" x14ac:dyDescent="0.4">
      <c r="A12" s="10" t="s">
        <v>117</v>
      </c>
    </row>
    <row r="13" spans="1:7" ht="15" x14ac:dyDescent="0.5">
      <c r="A13" s="1"/>
      <c r="B13" s="16"/>
      <c r="C13" s="16" t="s">
        <v>110</v>
      </c>
      <c r="D13" s="16" t="s">
        <v>111</v>
      </c>
      <c r="E13" s="16" t="s">
        <v>112</v>
      </c>
    </row>
    <row r="14" spans="1:7" ht="15" x14ac:dyDescent="0.5">
      <c r="A14" s="59"/>
      <c r="B14" s="28" t="s">
        <v>113</v>
      </c>
      <c r="C14" s="16">
        <v>0</v>
      </c>
      <c r="D14" s="16">
        <v>0</v>
      </c>
      <c r="E14" s="16">
        <v>0</v>
      </c>
    </row>
    <row r="15" spans="1:7" ht="15" x14ac:dyDescent="0.5">
      <c r="A15" s="40"/>
      <c r="B15" s="60">
        <v>51</v>
      </c>
      <c r="C15" s="39">
        <f>B15/B21</f>
        <v>0.10039370078740158</v>
      </c>
      <c r="D15" s="39">
        <f>1/6</f>
        <v>0.16666666666666666</v>
      </c>
      <c r="E15" s="39">
        <f t="shared" ref="E15:E20" si="0">D15-C15</f>
        <v>6.6272965879265081E-2</v>
      </c>
    </row>
    <row r="16" spans="1:7" ht="15" x14ac:dyDescent="0.5">
      <c r="A16" s="61"/>
      <c r="B16" s="60">
        <v>70</v>
      </c>
      <c r="C16" s="39">
        <f>B16/B$21+C15</f>
        <v>0.23818897637795278</v>
      </c>
      <c r="D16" s="39">
        <f>2/6</f>
        <v>0.33333333333333331</v>
      </c>
      <c r="E16" s="39">
        <f t="shared" si="0"/>
        <v>9.5144356955380538E-2</v>
      </c>
    </row>
    <row r="17" spans="1:5" ht="15" x14ac:dyDescent="0.5">
      <c r="A17" s="61"/>
      <c r="B17" s="60">
        <v>84</v>
      </c>
      <c r="C17" s="39">
        <f>B17/B$21+C16</f>
        <v>0.40354330708661423</v>
      </c>
      <c r="D17" s="39">
        <f>3/6</f>
        <v>0.5</v>
      </c>
      <c r="E17" s="39">
        <f t="shared" si="0"/>
        <v>9.6456692913385766E-2</v>
      </c>
    </row>
    <row r="18" spans="1:5" ht="15" x14ac:dyDescent="0.5">
      <c r="A18" s="61"/>
      <c r="B18" s="60">
        <v>91</v>
      </c>
      <c r="C18" s="39">
        <f>B18/B$21+C17</f>
        <v>0.58267716535433078</v>
      </c>
      <c r="D18" s="39">
        <f>4/6</f>
        <v>0.66666666666666663</v>
      </c>
      <c r="E18" s="39">
        <f t="shared" si="0"/>
        <v>8.3989501312335846E-2</v>
      </c>
    </row>
    <row r="19" spans="1:5" ht="15" x14ac:dyDescent="0.5">
      <c r="A19" s="61"/>
      <c r="B19" s="60">
        <v>102</v>
      </c>
      <c r="C19" s="39">
        <f>B19/B$21+C18</f>
        <v>0.78346456692913391</v>
      </c>
      <c r="D19" s="39">
        <f>5/6</f>
        <v>0.83333333333333337</v>
      </c>
      <c r="E19" s="39">
        <f t="shared" si="0"/>
        <v>4.986876640419946E-2</v>
      </c>
    </row>
    <row r="20" spans="1:5" ht="15" x14ac:dyDescent="0.5">
      <c r="A20" s="61"/>
      <c r="B20" s="60">
        <v>110</v>
      </c>
      <c r="C20" s="16">
        <f>B20/B$21+C19</f>
        <v>1</v>
      </c>
      <c r="D20" s="16">
        <f>6/6</f>
        <v>1</v>
      </c>
      <c r="E20" s="16">
        <f t="shared" si="0"/>
        <v>0</v>
      </c>
    </row>
    <row r="21" spans="1:5" x14ac:dyDescent="0.4">
      <c r="A21" s="28"/>
      <c r="B21" s="28">
        <f>SUM(B15:B20)</f>
        <v>508</v>
      </c>
      <c r="C21" s="16"/>
      <c r="D21">
        <f>SUM(D14:D19)</f>
        <v>2.5</v>
      </c>
      <c r="E21" s="39">
        <f>SUM(E15:E20)</f>
        <v>0.39173228346456668</v>
      </c>
    </row>
    <row r="22" spans="1:5" x14ac:dyDescent="0.4">
      <c r="A22" s="62" t="s">
        <v>0</v>
      </c>
      <c r="B22" s="62"/>
      <c r="C22" s="16"/>
      <c r="D22" s="16"/>
      <c r="E22" s="16"/>
    </row>
    <row r="23" spans="1:5" x14ac:dyDescent="0.4">
      <c r="A23" t="s">
        <v>114</v>
      </c>
      <c r="B23">
        <f>E21/D21</f>
        <v>0.15669291338582667</v>
      </c>
      <c r="C23"/>
      <c r="D23"/>
      <c r="E23">
        <v>0</v>
      </c>
    </row>
    <row r="24" spans="1:5" x14ac:dyDescent="0.4">
      <c r="E24" s="4">
        <v>1</v>
      </c>
    </row>
    <row r="25" spans="1:5" x14ac:dyDescent="0.4">
      <c r="A25" s="4" t="s">
        <v>115</v>
      </c>
    </row>
    <row r="28" spans="1:5" x14ac:dyDescent="0.4">
      <c r="A28" s="4" t="s">
        <v>2</v>
      </c>
    </row>
    <row r="29" spans="1:5" x14ac:dyDescent="0.4">
      <c r="A29" s="4">
        <f>B21/6</f>
        <v>84.666666666666671</v>
      </c>
    </row>
    <row r="31" spans="1:5" x14ac:dyDescent="0.4">
      <c r="A31" s="4" t="s">
        <v>7</v>
      </c>
    </row>
    <row r="32" spans="1:5" x14ac:dyDescent="0.4">
      <c r="A32" s="4" t="s">
        <v>118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8"/>
  <sheetViews>
    <sheetView tabSelected="1" topLeftCell="A19" zoomScale="150" zoomScaleNormal="150" workbookViewId="0">
      <selection activeCell="C32" sqref="C32"/>
    </sheetView>
  </sheetViews>
  <sheetFormatPr defaultColWidth="9.109375" defaultRowHeight="12.3" x14ac:dyDescent="0.4"/>
  <cols>
    <col min="1" max="1" width="27.33203125" style="4" customWidth="1"/>
    <col min="2" max="2" width="12.5546875" style="4" customWidth="1"/>
    <col min="3" max="3" width="8.77734375" style="4" customWidth="1"/>
    <col min="4" max="4" width="9.109375" style="4" customWidth="1"/>
    <col min="5" max="5" width="6.88671875" style="4" customWidth="1"/>
    <col min="6" max="6" width="6.33203125" style="4" customWidth="1"/>
    <col min="7" max="7" width="6.109375" style="4" customWidth="1"/>
    <col min="8" max="8" width="6" style="4" customWidth="1"/>
    <col min="9" max="9" width="8.88671875" style="4" customWidth="1"/>
    <col min="10" max="10" width="7.88671875" style="4" customWidth="1"/>
    <col min="11" max="11" width="6.109375" style="4" customWidth="1"/>
    <col min="12" max="12" width="6.5546875" style="4" customWidth="1"/>
    <col min="13" max="13" width="6.6640625" style="4" customWidth="1"/>
    <col min="14" max="16384" width="9.109375" style="4"/>
  </cols>
  <sheetData>
    <row r="1" spans="1:17" ht="15" x14ac:dyDescent="0.5">
      <c r="A1" s="3" t="s">
        <v>27</v>
      </c>
      <c r="B1"/>
      <c r="C1"/>
      <c r="D1"/>
      <c r="E1" s="5"/>
    </row>
    <row r="2" spans="1:17" ht="15" x14ac:dyDescent="0.5">
      <c r="A2" s="3" t="s">
        <v>59</v>
      </c>
      <c r="B2"/>
      <c r="C2"/>
      <c r="D2"/>
      <c r="E2" s="5"/>
    </row>
    <row r="3" spans="1:17" ht="15" x14ac:dyDescent="0.5">
      <c r="A3" s="3" t="s">
        <v>28</v>
      </c>
      <c r="B3"/>
      <c r="C3"/>
      <c r="D3"/>
      <c r="E3" s="5"/>
    </row>
    <row r="4" spans="1:17" ht="15" x14ac:dyDescent="0.5">
      <c r="A4" s="3"/>
      <c r="B4"/>
      <c r="C4"/>
      <c r="D4"/>
      <c r="E4" s="5"/>
    </row>
    <row r="5" spans="1:17" ht="15" x14ac:dyDescent="0.5">
      <c r="A5" s="3"/>
      <c r="B5" s="66" t="s">
        <v>29</v>
      </c>
      <c r="C5" s="66"/>
      <c r="D5" s="66"/>
      <c r="E5" s="5"/>
    </row>
    <row r="6" spans="1:17" ht="25.2" x14ac:dyDescent="0.5">
      <c r="A6" s="3" t="s">
        <v>30</v>
      </c>
      <c r="B6" s="41" t="s">
        <v>31</v>
      </c>
      <c r="C6" s="42" t="s">
        <v>32</v>
      </c>
      <c r="D6" s="43" t="s">
        <v>33</v>
      </c>
      <c r="E6" s="5"/>
    </row>
    <row r="7" spans="1:17" x14ac:dyDescent="0.4">
      <c r="A7" s="44" t="s">
        <v>56</v>
      </c>
      <c r="B7" s="12">
        <v>11</v>
      </c>
      <c r="C7" s="11">
        <v>9</v>
      </c>
      <c r="D7" s="45">
        <v>32</v>
      </c>
      <c r="E7" s="10"/>
      <c r="F7" s="10"/>
      <c r="G7" s="10"/>
      <c r="H7" s="10"/>
      <c r="I7" s="46"/>
      <c r="J7" s="10"/>
      <c r="K7" s="10"/>
      <c r="L7" s="10"/>
      <c r="M7" s="10"/>
      <c r="N7" s="10"/>
    </row>
    <row r="8" spans="1:17" x14ac:dyDescent="0.4">
      <c r="A8" s="47" t="s">
        <v>57</v>
      </c>
      <c r="B8" s="14">
        <v>48</v>
      </c>
      <c r="C8" s="13">
        <v>52</v>
      </c>
      <c r="D8" s="26">
        <v>21</v>
      </c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7" x14ac:dyDescent="0.4">
      <c r="A9" s="48" t="s">
        <v>58</v>
      </c>
      <c r="B9" s="10">
        <v>29</v>
      </c>
      <c r="C9" s="10">
        <v>65</v>
      </c>
      <c r="D9" s="10">
        <v>6</v>
      </c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7" x14ac:dyDescent="0.4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7" ht="15" x14ac:dyDescent="0.5">
      <c r="A11" s="10" t="s">
        <v>34</v>
      </c>
      <c r="B11"/>
      <c r="C11"/>
      <c r="D11"/>
      <c r="E11" s="5"/>
    </row>
    <row r="12" spans="1:17" ht="15" x14ac:dyDescent="0.5">
      <c r="A12" s="10" t="s">
        <v>35</v>
      </c>
      <c r="B12"/>
      <c r="C12"/>
      <c r="D12"/>
      <c r="E12" s="5"/>
    </row>
    <row r="13" spans="1:17" ht="16.5" customHeight="1" x14ac:dyDescent="0.5">
      <c r="A13" s="10" t="s">
        <v>36</v>
      </c>
      <c r="B13"/>
      <c r="C13"/>
      <c r="D13"/>
      <c r="E13" s="5"/>
    </row>
    <row r="14" spans="1:17" ht="15" x14ac:dyDescent="0.5">
      <c r="A14" s="36" t="s">
        <v>52</v>
      </c>
      <c r="E14" s="5"/>
      <c r="Q14" s="2"/>
    </row>
    <row r="15" spans="1:17" ht="15" x14ac:dyDescent="0.5">
      <c r="A15" s="37"/>
      <c r="B15" t="s">
        <v>29</v>
      </c>
      <c r="C15"/>
      <c r="D15"/>
      <c r="E15" s="5"/>
      <c r="Q15" s="2"/>
    </row>
    <row r="16" spans="1:17" x14ac:dyDescent="0.4">
      <c r="A16" s="49" t="s">
        <v>37</v>
      </c>
      <c r="B16" t="s">
        <v>31</v>
      </c>
      <c r="C16" t="s">
        <v>32</v>
      </c>
      <c r="D16" t="s">
        <v>33</v>
      </c>
      <c r="E16" s="29" t="s">
        <v>38</v>
      </c>
    </row>
    <row r="17" spans="1:5" x14ac:dyDescent="0.4">
      <c r="A17" s="28">
        <f>250/2</f>
        <v>125</v>
      </c>
      <c r="B17">
        <f>B7</f>
        <v>11</v>
      </c>
      <c r="C17">
        <f t="shared" ref="C17:D17" si="0">C7</f>
        <v>9</v>
      </c>
      <c r="D17">
        <f t="shared" si="0"/>
        <v>32</v>
      </c>
      <c r="E17" s="29">
        <f>SUM(B17:D17)</f>
        <v>52</v>
      </c>
    </row>
    <row r="18" spans="1:5" x14ac:dyDescent="0.4">
      <c r="A18" s="28">
        <f>350/2</f>
        <v>175</v>
      </c>
      <c r="B18">
        <f t="shared" ref="B18:D19" si="1">B8</f>
        <v>48</v>
      </c>
      <c r="C18">
        <f t="shared" si="1"/>
        <v>52</v>
      </c>
      <c r="D18">
        <f t="shared" si="1"/>
        <v>21</v>
      </c>
      <c r="E18" s="29">
        <f t="shared" ref="E18:E20" si="2">SUM(B18:D18)</f>
        <v>121</v>
      </c>
    </row>
    <row r="19" spans="1:5" x14ac:dyDescent="0.4">
      <c r="A19" s="28">
        <f>500/2</f>
        <v>250</v>
      </c>
      <c r="B19">
        <f t="shared" si="1"/>
        <v>29</v>
      </c>
      <c r="C19">
        <f t="shared" si="1"/>
        <v>65</v>
      </c>
      <c r="D19">
        <f t="shared" si="1"/>
        <v>6</v>
      </c>
      <c r="E19" s="29">
        <f t="shared" si="2"/>
        <v>100</v>
      </c>
    </row>
    <row r="20" spans="1:5" x14ac:dyDescent="0.4">
      <c r="A20" s="28" t="s">
        <v>38</v>
      </c>
      <c r="B20" s="4">
        <f>SUM(B17:B19)</f>
        <v>88</v>
      </c>
      <c r="C20" s="4">
        <f t="shared" ref="C20:D20" si="3">SUM(C17:C19)</f>
        <v>126</v>
      </c>
      <c r="D20" s="4">
        <f t="shared" si="3"/>
        <v>59</v>
      </c>
      <c r="E20" s="29">
        <f t="shared" si="2"/>
        <v>273</v>
      </c>
    </row>
    <row r="21" spans="1:5" ht="15" x14ac:dyDescent="0.5">
      <c r="A21" s="28"/>
      <c r="B21"/>
      <c r="C21"/>
      <c r="D21"/>
      <c r="E21" s="5"/>
    </row>
    <row r="22" spans="1:5" x14ac:dyDescent="0.4">
      <c r="A22" s="28" t="s">
        <v>39</v>
      </c>
      <c r="B22" t="s">
        <v>40</v>
      </c>
      <c r="C22" t="s">
        <v>40</v>
      </c>
      <c r="D22" t="s">
        <v>40</v>
      </c>
      <c r="E22" s="29" t="s">
        <v>40</v>
      </c>
    </row>
    <row r="23" spans="1:5" x14ac:dyDescent="0.4">
      <c r="A23" s="28">
        <f>A17</f>
        <v>125</v>
      </c>
      <c r="B23">
        <f>B17*$A17</f>
        <v>1375</v>
      </c>
      <c r="C23">
        <f>C17*$A17</f>
        <v>1125</v>
      </c>
      <c r="D23">
        <f t="shared" ref="D23:E23" si="4">D17*$A17</f>
        <v>4000</v>
      </c>
      <c r="E23">
        <f t="shared" si="4"/>
        <v>6500</v>
      </c>
    </row>
    <row r="24" spans="1:5" x14ac:dyDescent="0.4">
      <c r="A24" s="28">
        <f t="shared" ref="A24:A25" si="5">A18</f>
        <v>175</v>
      </c>
      <c r="B24">
        <f t="shared" ref="B24:B25" si="6">B18*A18</f>
        <v>8400</v>
      </c>
      <c r="C24">
        <f t="shared" ref="C24:E25" si="7">C18*$A18</f>
        <v>9100</v>
      </c>
      <c r="D24">
        <f t="shared" si="7"/>
        <v>3675</v>
      </c>
      <c r="E24">
        <f t="shared" si="7"/>
        <v>21175</v>
      </c>
    </row>
    <row r="25" spans="1:5" x14ac:dyDescent="0.4">
      <c r="A25" s="28">
        <f t="shared" si="5"/>
        <v>250</v>
      </c>
      <c r="B25">
        <f t="shared" si="6"/>
        <v>7250</v>
      </c>
      <c r="C25">
        <f t="shared" si="7"/>
        <v>16250</v>
      </c>
      <c r="D25">
        <f t="shared" si="7"/>
        <v>1500</v>
      </c>
      <c r="E25">
        <f t="shared" si="7"/>
        <v>25000</v>
      </c>
    </row>
    <row r="26" spans="1:5" x14ac:dyDescent="0.4">
      <c r="A26" s="29" t="s">
        <v>41</v>
      </c>
      <c r="B26" s="4">
        <f>SUM(B23:B25)/B20</f>
        <v>193.46590909090909</v>
      </c>
      <c r="C26" s="4">
        <f t="shared" ref="C26" si="8">SUM(C23:C25)/C20</f>
        <v>210.11904761904762</v>
      </c>
      <c r="D26" s="4">
        <f>SUM(D23:D25)/D20</f>
        <v>155.5084745762712</v>
      </c>
    </row>
    <row r="27" spans="1:5" x14ac:dyDescent="0.4">
      <c r="C27" s="29" t="s">
        <v>42</v>
      </c>
      <c r="E27" s="4">
        <f>SUM(E23:E25)/E20</f>
        <v>192.94871794871796</v>
      </c>
    </row>
    <row r="28" spans="1:5" x14ac:dyDescent="0.4">
      <c r="A28" s="15"/>
    </row>
    <row r="29" spans="1:5" x14ac:dyDescent="0.4">
      <c r="A29" s="37" t="s">
        <v>43</v>
      </c>
    </row>
    <row r="30" spans="1:5" x14ac:dyDescent="0.4">
      <c r="A30" s="15"/>
    </row>
    <row r="31" spans="1:5" x14ac:dyDescent="0.4">
      <c r="A31" s="29" t="s">
        <v>44</v>
      </c>
    </row>
    <row r="32" spans="1:5" x14ac:dyDescent="0.4">
      <c r="A32" s="29" t="s">
        <v>45</v>
      </c>
      <c r="C32" s="4">
        <f>SUM(B34:D34)/E20</f>
        <v>439.10411822557921</v>
      </c>
    </row>
    <row r="33" spans="1:4" x14ac:dyDescent="0.4">
      <c r="A33" s="37" t="s">
        <v>46</v>
      </c>
      <c r="B33" s="4">
        <f>(B26-$E$27)^2</f>
        <v>0.26748667756097338</v>
      </c>
      <c r="C33" s="4">
        <f t="shared" ref="C33:D33" si="9">(C26-$E$27)^2</f>
        <v>294.82022098780322</v>
      </c>
      <c r="D33" s="4">
        <f t="shared" si="9"/>
        <v>1401.7718237880433</v>
      </c>
    </row>
    <row r="34" spans="1:4" x14ac:dyDescent="0.4">
      <c r="A34" s="37" t="s">
        <v>47</v>
      </c>
      <c r="B34" s="4">
        <f>B33*B20</f>
        <v>23.538827625365659</v>
      </c>
      <c r="C34" s="4">
        <f t="shared" ref="C34:D34" si="10">C33*C20</f>
        <v>37147.347844463206</v>
      </c>
      <c r="D34" s="4">
        <f t="shared" si="10"/>
        <v>82704.537603494551</v>
      </c>
    </row>
    <row r="37" spans="1:4" x14ac:dyDescent="0.4">
      <c r="A37" s="27" t="s">
        <v>48</v>
      </c>
      <c r="B37" s="4">
        <f>SUM(B39:B41)/E20</f>
        <v>2214.4735606274066</v>
      </c>
    </row>
    <row r="38" spans="1:4" x14ac:dyDescent="0.4">
      <c r="A38" s="27" t="s">
        <v>49</v>
      </c>
      <c r="B38" s="37" t="s">
        <v>50</v>
      </c>
    </row>
    <row r="39" spans="1:4" x14ac:dyDescent="0.4">
      <c r="A39" s="4">
        <f>(A23-$E$27)^2</f>
        <v>4617.0282708744253</v>
      </c>
      <c r="B39" s="4">
        <f>A39*E17</f>
        <v>240085.47008547012</v>
      </c>
    </row>
    <row r="40" spans="1:4" x14ac:dyDescent="0.4">
      <c r="A40" s="4">
        <f t="shared" ref="A40:A41" si="11">(A24-$E$27)^2</f>
        <v>322.15647600263009</v>
      </c>
      <c r="B40" s="4">
        <f t="shared" ref="B40:B41" si="12">A40*E18</f>
        <v>38980.933596318238</v>
      </c>
    </row>
    <row r="41" spans="1:4" x14ac:dyDescent="0.4">
      <c r="A41" s="4">
        <f t="shared" si="11"/>
        <v>3254.8487836949366</v>
      </c>
      <c r="B41" s="4">
        <f t="shared" si="12"/>
        <v>325484.87836949364</v>
      </c>
    </row>
    <row r="43" spans="1:4" x14ac:dyDescent="0.4">
      <c r="A43" s="29" t="s">
        <v>51</v>
      </c>
      <c r="B43" s="4">
        <f>C32/B37</f>
        <v>0.19828826409703074</v>
      </c>
    </row>
    <row r="45" spans="1:4" x14ac:dyDescent="0.4">
      <c r="A45" s="29" t="s">
        <v>137</v>
      </c>
    </row>
    <row r="47" spans="1:4" x14ac:dyDescent="0.4">
      <c r="A47" s="29" t="s">
        <v>7</v>
      </c>
    </row>
    <row r="48" spans="1:4" x14ac:dyDescent="0.4">
      <c r="A48" s="37" t="s">
        <v>53</v>
      </c>
    </row>
  </sheetData>
  <mergeCells count="1">
    <mergeCell ref="B5:D5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9"/>
  <sheetViews>
    <sheetView topLeftCell="A10" zoomScale="150" zoomScaleNormal="150" workbookViewId="0">
      <selection activeCell="B29" sqref="B29"/>
    </sheetView>
  </sheetViews>
  <sheetFormatPr defaultRowHeight="12.3" x14ac:dyDescent="0.4"/>
  <cols>
    <col min="1" max="1" width="15" customWidth="1"/>
    <col min="2" max="2" width="8.5546875" customWidth="1"/>
    <col min="3" max="3" width="8.6640625" customWidth="1"/>
    <col min="4" max="4" width="12.21875" customWidth="1"/>
    <col min="5" max="5" width="5.5546875" customWidth="1"/>
    <col min="6" max="6" width="6.6640625" customWidth="1"/>
    <col min="7" max="7" width="9.6640625" customWidth="1"/>
    <col min="10" max="10" width="8.44140625" customWidth="1"/>
  </cols>
  <sheetData>
    <row r="1" spans="1:10" x14ac:dyDescent="0.4">
      <c r="A1" s="51" t="s">
        <v>60</v>
      </c>
    </row>
    <row r="2" spans="1:10" x14ac:dyDescent="0.4">
      <c r="A2" s="51" t="s">
        <v>61</v>
      </c>
    </row>
    <row r="3" spans="1:10" x14ac:dyDescent="0.4">
      <c r="A3" s="51" t="s">
        <v>73</v>
      </c>
    </row>
    <row r="4" spans="1:10" x14ac:dyDescent="0.4">
      <c r="A4" s="52" t="s">
        <v>74</v>
      </c>
    </row>
    <row r="5" spans="1:10" x14ac:dyDescent="0.4">
      <c r="A5" s="51" t="s">
        <v>62</v>
      </c>
    </row>
    <row r="6" spans="1:10" x14ac:dyDescent="0.4">
      <c r="A6" s="51" t="s">
        <v>76</v>
      </c>
    </row>
    <row r="7" spans="1:10" x14ac:dyDescent="0.4">
      <c r="A7" s="21" t="s">
        <v>75</v>
      </c>
    </row>
    <row r="8" spans="1:10" x14ac:dyDescent="0.4">
      <c r="A8" s="3"/>
    </row>
    <row r="9" spans="1:10" x14ac:dyDescent="0.4">
      <c r="A9" s="28" t="s">
        <v>63</v>
      </c>
    </row>
    <row r="10" spans="1:10" x14ac:dyDescent="0.4">
      <c r="A10" s="28" t="s">
        <v>0</v>
      </c>
    </row>
    <row r="11" spans="1:10" x14ac:dyDescent="0.4">
      <c r="A11" t="s">
        <v>64</v>
      </c>
      <c r="B11">
        <v>39</v>
      </c>
    </row>
    <row r="12" spans="1:10" x14ac:dyDescent="0.4">
      <c r="A12" t="s">
        <v>65</v>
      </c>
      <c r="B12">
        <v>25</v>
      </c>
    </row>
    <row r="13" spans="1:10" x14ac:dyDescent="0.4">
      <c r="A13" s="28" t="s">
        <v>77</v>
      </c>
      <c r="B13" s="28" t="s">
        <v>66</v>
      </c>
      <c r="C13" s="34">
        <f>(45-B11)/SQRT(B12)</f>
        <v>1.2</v>
      </c>
      <c r="D13" s="28" t="s">
        <v>67</v>
      </c>
      <c r="E13" s="34">
        <f>1-NORMSDIST(C13)</f>
        <v>0.11506967022170822</v>
      </c>
      <c r="F13" s="8"/>
      <c r="H13" s="8"/>
    </row>
    <row r="14" spans="1:10" x14ac:dyDescent="0.4">
      <c r="A14" s="28"/>
      <c r="B14" s="33"/>
    </row>
    <row r="15" spans="1:10" x14ac:dyDescent="0.4">
      <c r="A15" s="28" t="s">
        <v>1</v>
      </c>
      <c r="B15" s="53"/>
    </row>
    <row r="16" spans="1:10" x14ac:dyDescent="0.4">
      <c r="A16" s="28" t="s">
        <v>68</v>
      </c>
      <c r="B16" s="30">
        <f>(30-B11)/SQRT(B12)</f>
        <v>-1.8</v>
      </c>
      <c r="C16" s="34" t="s">
        <v>69</v>
      </c>
      <c r="D16">
        <f>(40-B11)/SQRT(B12)</f>
        <v>0.2</v>
      </c>
      <c r="E16" s="34" t="s">
        <v>70</v>
      </c>
      <c r="F16">
        <f>_xlfn.NORM.S.DIST(D16,TRUE)</f>
        <v>0.57925970943910299</v>
      </c>
      <c r="G16" s="8" t="s">
        <v>54</v>
      </c>
      <c r="H16">
        <f>_xlfn.NORM.S.DIST(B16,TRUE)</f>
        <v>3.5930319112925789E-2</v>
      </c>
      <c r="I16" s="8" t="s">
        <v>55</v>
      </c>
      <c r="J16">
        <f>F16-H16</f>
        <v>0.54332939032617722</v>
      </c>
    </row>
    <row r="17" spans="1:11" x14ac:dyDescent="0.4">
      <c r="B17" s="33"/>
    </row>
    <row r="18" spans="1:11" x14ac:dyDescent="0.4">
      <c r="A18" t="s">
        <v>2</v>
      </c>
    </row>
    <row r="19" spans="1:11" x14ac:dyDescent="0.4">
      <c r="A19" t="s">
        <v>71</v>
      </c>
    </row>
    <row r="20" spans="1:11" x14ac:dyDescent="0.4">
      <c r="A20" t="s">
        <v>64</v>
      </c>
      <c r="B20">
        <f>5*B11</f>
        <v>195</v>
      </c>
    </row>
    <row r="21" spans="1:11" x14ac:dyDescent="0.4">
      <c r="A21" t="s">
        <v>65</v>
      </c>
      <c r="B21">
        <f>5*B12</f>
        <v>125</v>
      </c>
    </row>
    <row r="22" spans="1:11" x14ac:dyDescent="0.4">
      <c r="A22" s="28" t="s">
        <v>78</v>
      </c>
      <c r="B22">
        <f>(180-B20)/SQRT(B21)</f>
        <v>-1.3416407864998738</v>
      </c>
      <c r="C22" t="s">
        <v>70</v>
      </c>
      <c r="D22">
        <f>_xlfn.NORM.S.DIST(B22,TRUE)</f>
        <v>8.9856247439499895E-2</v>
      </c>
    </row>
    <row r="25" spans="1:11" x14ac:dyDescent="0.4">
      <c r="A25" t="s">
        <v>7</v>
      </c>
      <c r="B25" s="54"/>
    </row>
    <row r="26" spans="1:11" x14ac:dyDescent="0.4">
      <c r="A26" s="28" t="s">
        <v>79</v>
      </c>
      <c r="B26" s="33"/>
    </row>
    <row r="27" spans="1:11" x14ac:dyDescent="0.4">
      <c r="A27" t="s">
        <v>6</v>
      </c>
      <c r="B27" s="34">
        <f>E13</f>
        <v>0.11506967022170822</v>
      </c>
    </row>
    <row r="28" spans="1:11" x14ac:dyDescent="0.4">
      <c r="A28" t="s">
        <v>3</v>
      </c>
      <c r="B28">
        <v>10</v>
      </c>
    </row>
    <row r="29" spans="1:11" x14ac:dyDescent="0.4">
      <c r="A29" s="28" t="s">
        <v>80</v>
      </c>
      <c r="E29">
        <f>BINOMDIST(0,10,$B27,FALSE)</f>
        <v>0.29450373163794752</v>
      </c>
      <c r="F29" s="8" t="s">
        <v>72</v>
      </c>
      <c r="G29">
        <f>BINOMDIST(1,10,$B27,FALSE)</f>
        <v>0.38295045540061223</v>
      </c>
      <c r="H29" s="8" t="s">
        <v>72</v>
      </c>
      <c r="I29">
        <f>BINOMDIST(2,10,$B27,FALSE)</f>
        <v>0.22408195887419444</v>
      </c>
      <c r="J29" s="8" t="s">
        <v>55</v>
      </c>
      <c r="K29">
        <f>SUM(E29,G29,I29)</f>
        <v>0.90153614591275422</v>
      </c>
    </row>
  </sheetData>
  <phoneticPr fontId="2" type="noConversion"/>
  <pageMargins left="0.75" right="0.75" top="1" bottom="1" header="0.5" footer="0.5"/>
  <pageSetup paperSize="9" scale="8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1"/>
  <sheetViews>
    <sheetView topLeftCell="A5" zoomScale="150" zoomScaleNormal="150" workbookViewId="0">
      <selection activeCell="B19" sqref="B19"/>
    </sheetView>
  </sheetViews>
  <sheetFormatPr defaultColWidth="9.609375" defaultRowHeight="12.3" x14ac:dyDescent="0.4"/>
  <cols>
    <col min="1" max="1" width="18.88671875" style="4" customWidth="1"/>
    <col min="2" max="5" width="9.609375" style="4"/>
    <col min="6" max="6" width="12.1640625" style="4" customWidth="1"/>
    <col min="7" max="16384" width="9.609375" style="4"/>
  </cols>
  <sheetData>
    <row r="1" spans="1:9" x14ac:dyDescent="0.4">
      <c r="A1" s="3" t="s">
        <v>128</v>
      </c>
      <c r="B1" s="3"/>
      <c r="C1" s="3"/>
      <c r="D1" s="3"/>
      <c r="E1" s="3"/>
      <c r="F1" s="3"/>
      <c r="G1" s="3"/>
      <c r="H1" s="3"/>
      <c r="I1" s="3"/>
    </row>
    <row r="2" spans="1:9" x14ac:dyDescent="0.4">
      <c r="A2" s="3" t="s">
        <v>129</v>
      </c>
      <c r="B2" s="3"/>
      <c r="C2" s="3"/>
      <c r="D2" s="3"/>
      <c r="E2" s="3"/>
      <c r="F2" s="3"/>
      <c r="G2" s="3"/>
      <c r="H2" s="3"/>
      <c r="I2" s="3"/>
    </row>
    <row r="3" spans="1:9" x14ac:dyDescent="0.4">
      <c r="A3" s="3" t="s">
        <v>119</v>
      </c>
      <c r="B3" s="3"/>
      <c r="C3" s="3"/>
      <c r="D3" s="3"/>
      <c r="E3" s="3"/>
      <c r="F3" s="3"/>
      <c r="G3" s="3"/>
      <c r="H3" s="3"/>
      <c r="I3" s="3"/>
    </row>
    <row r="4" spans="1:9" x14ac:dyDescent="0.4">
      <c r="A4" s="3" t="s">
        <v>130</v>
      </c>
      <c r="B4" s="3"/>
      <c r="C4" s="3"/>
      <c r="D4" s="3"/>
      <c r="E4" s="3"/>
      <c r="F4" s="3"/>
      <c r="G4" s="3"/>
      <c r="H4" s="3"/>
      <c r="I4" s="3"/>
    </row>
    <row r="5" spans="1:9" x14ac:dyDescent="0.4">
      <c r="A5" s="3" t="s">
        <v>131</v>
      </c>
      <c r="B5" s="3"/>
      <c r="C5" s="63"/>
      <c r="D5" s="63"/>
      <c r="E5" s="63"/>
      <c r="F5" s="64"/>
      <c r="G5" s="64"/>
      <c r="H5" s="64"/>
      <c r="I5" s="3"/>
    </row>
    <row r="6" spans="1:9" x14ac:dyDescent="0.4">
      <c r="A6" s="65" t="s">
        <v>120</v>
      </c>
      <c r="B6" s="10"/>
      <c r="C6" s="10"/>
      <c r="D6" s="19"/>
      <c r="E6" s="19"/>
      <c r="F6" s="19"/>
      <c r="G6" s="19"/>
      <c r="H6" s="19"/>
      <c r="I6" s="10"/>
    </row>
    <row r="7" spans="1:9" ht="18.75" customHeight="1" x14ac:dyDescent="0.4">
      <c r="A7" s="3"/>
      <c r="B7" s="10"/>
      <c r="C7" s="10"/>
      <c r="D7" s="10"/>
      <c r="E7" s="10"/>
      <c r="F7" s="10"/>
      <c r="G7" s="10"/>
      <c r="H7" s="10"/>
      <c r="I7" s="10"/>
    </row>
    <row r="8" spans="1:9" x14ac:dyDescent="0.4">
      <c r="B8" s="10"/>
      <c r="C8" s="10"/>
      <c r="D8" s="10"/>
      <c r="E8" s="10"/>
      <c r="F8" s="10"/>
      <c r="G8" s="10"/>
      <c r="H8" s="10"/>
      <c r="I8" s="10"/>
    </row>
    <row r="9" spans="1:9" x14ac:dyDescent="0.4">
      <c r="A9" s="3"/>
      <c r="B9" s="10"/>
      <c r="C9" s="10"/>
      <c r="D9" s="10"/>
      <c r="E9" s="10"/>
      <c r="F9" s="10"/>
      <c r="G9" s="10"/>
      <c r="H9" s="10"/>
      <c r="I9" s="10"/>
    </row>
    <row r="10" spans="1:9" x14ac:dyDescent="0.4">
      <c r="A10" s="28" t="s">
        <v>0</v>
      </c>
      <c r="B10" s="3"/>
      <c r="C10" s="3"/>
      <c r="D10" s="3"/>
      <c r="E10" s="3"/>
      <c r="F10" s="3"/>
      <c r="G10" s="3"/>
      <c r="H10" s="3"/>
      <c r="I10" s="3"/>
    </row>
    <row r="11" spans="1:9" x14ac:dyDescent="0.4">
      <c r="A11" s="28" t="s">
        <v>121</v>
      </c>
      <c r="B11" s="3"/>
      <c r="C11" s="3"/>
      <c r="D11" s="3"/>
      <c r="E11" s="3"/>
      <c r="F11" s="3"/>
      <c r="G11" s="3"/>
      <c r="H11" s="3"/>
      <c r="I11" s="3"/>
    </row>
    <row r="12" spans="1:9" x14ac:dyDescent="0.4">
      <c r="A12" s="28" t="s">
        <v>122</v>
      </c>
      <c r="B12" s="28"/>
      <c r="C12" s="3"/>
      <c r="D12" s="3"/>
      <c r="E12" s="3"/>
      <c r="F12" s="3"/>
      <c r="G12" s="3"/>
      <c r="H12" s="3"/>
      <c r="I12" s="3"/>
    </row>
    <row r="13" spans="1:9" x14ac:dyDescent="0.4">
      <c r="A13" s="28" t="s">
        <v>123</v>
      </c>
      <c r="B13" s="28">
        <v>0.08</v>
      </c>
      <c r="C13" s="3"/>
      <c r="D13" s="3"/>
      <c r="E13" s="3"/>
      <c r="F13" s="3"/>
      <c r="G13" s="3"/>
      <c r="H13" s="3"/>
      <c r="I13" s="3"/>
    </row>
    <row r="14" spans="1:9" ht="13.8" x14ac:dyDescent="0.4">
      <c r="A14" s="28" t="s">
        <v>124</v>
      </c>
      <c r="B14">
        <v>0.3</v>
      </c>
      <c r="C14"/>
      <c r="D14"/>
      <c r="E14"/>
      <c r="F14"/>
      <c r="G14"/>
      <c r="H14"/>
      <c r="I14" s="3"/>
    </row>
    <row r="15" spans="1:9" x14ac:dyDescent="0.4">
      <c r="A15" s="29" t="s">
        <v>125</v>
      </c>
      <c r="B15" s="4">
        <v>0.9</v>
      </c>
    </row>
    <row r="16" spans="1:9" x14ac:dyDescent="0.4">
      <c r="A16" s="37" t="s">
        <v>126</v>
      </c>
      <c r="B16" s="4">
        <f>B13*B15+B14*(1-B15)</f>
        <v>0.10200000000000001</v>
      </c>
    </row>
    <row r="17" spans="1:9" x14ac:dyDescent="0.4">
      <c r="A17" s="37"/>
    </row>
    <row r="18" spans="1:9" x14ac:dyDescent="0.4">
      <c r="A18" s="28" t="s">
        <v>1</v>
      </c>
      <c r="B18"/>
      <c r="C18"/>
      <c r="D18"/>
      <c r="E18"/>
      <c r="F18"/>
      <c r="G18"/>
      <c r="H18"/>
      <c r="I18" s="3"/>
    </row>
    <row r="19" spans="1:9" ht="13.8" x14ac:dyDescent="0.4">
      <c r="A19" s="28" t="s">
        <v>132</v>
      </c>
      <c r="B19">
        <f>B14*(1-B15)/B16</f>
        <v>0.29411764705882343</v>
      </c>
      <c r="C19"/>
      <c r="D19"/>
      <c r="E19"/>
      <c r="F19"/>
      <c r="G19"/>
      <c r="H19"/>
      <c r="I19" s="28"/>
    </row>
    <row r="20" spans="1:9" x14ac:dyDescent="0.4">
      <c r="A20"/>
      <c r="B20"/>
      <c r="C20"/>
      <c r="D20"/>
      <c r="E20"/>
      <c r="F20"/>
      <c r="G20"/>
      <c r="H20"/>
      <c r="I20" s="3"/>
    </row>
    <row r="21" spans="1:9" x14ac:dyDescent="0.4">
      <c r="A21" s="28" t="s">
        <v>2</v>
      </c>
      <c r="B21"/>
      <c r="C21"/>
      <c r="D21"/>
      <c r="E21"/>
      <c r="F21"/>
      <c r="G21"/>
      <c r="H21"/>
      <c r="I21" s="3"/>
    </row>
    <row r="22" spans="1:9" ht="14.4" x14ac:dyDescent="0.5">
      <c r="A22" s="28" t="s">
        <v>133</v>
      </c>
      <c r="B22" s="34">
        <f>(1-B13)*B15</f>
        <v>0.82800000000000007</v>
      </c>
      <c r="C22"/>
      <c r="D22"/>
      <c r="E22"/>
      <c r="F22"/>
      <c r="G22"/>
      <c r="H22"/>
      <c r="I22" s="3"/>
    </row>
    <row r="23" spans="1:9" x14ac:dyDescent="0.4">
      <c r="A23"/>
      <c r="B23"/>
      <c r="C23"/>
      <c r="D23"/>
      <c r="E23"/>
      <c r="F23"/>
      <c r="G23"/>
      <c r="H23"/>
      <c r="I23" s="3"/>
    </row>
    <row r="24" spans="1:9" x14ac:dyDescent="0.4">
      <c r="A24" s="28" t="s">
        <v>7</v>
      </c>
      <c r="B24"/>
      <c r="C24"/>
      <c r="D24"/>
      <c r="E24"/>
      <c r="F24"/>
      <c r="G24"/>
      <c r="H24"/>
      <c r="I24" s="3"/>
    </row>
    <row r="25" spans="1:9" x14ac:dyDescent="0.4">
      <c r="A25" s="28" t="s">
        <v>127</v>
      </c>
      <c r="B25"/>
      <c r="C25"/>
      <c r="D25"/>
      <c r="E25"/>
      <c r="F25"/>
      <c r="G25"/>
      <c r="H25"/>
      <c r="I25" s="3"/>
    </row>
    <row r="26" spans="1:9" x14ac:dyDescent="0.4">
      <c r="A26"/>
      <c r="B26"/>
      <c r="C26"/>
      <c r="D26"/>
      <c r="E26"/>
      <c r="F26"/>
      <c r="G26"/>
      <c r="H26"/>
      <c r="I26" s="3"/>
    </row>
    <row r="27" spans="1:9" x14ac:dyDescent="0.4">
      <c r="A27" s="28"/>
      <c r="B27"/>
      <c r="C27"/>
      <c r="D27"/>
      <c r="E27"/>
      <c r="F27"/>
      <c r="G27"/>
      <c r="H27"/>
      <c r="I27" s="28"/>
    </row>
    <row r="28" spans="1:9" x14ac:dyDescent="0.4">
      <c r="A28"/>
      <c r="B28"/>
      <c r="C28"/>
      <c r="D28"/>
      <c r="E28"/>
      <c r="F28"/>
      <c r="G28"/>
      <c r="H28"/>
      <c r="I28" s="3"/>
    </row>
    <row r="29" spans="1:9" x14ac:dyDescent="0.4">
      <c r="A29"/>
      <c r="B29"/>
      <c r="C29"/>
      <c r="D29"/>
      <c r="E29"/>
      <c r="F29"/>
      <c r="G29"/>
      <c r="H29"/>
      <c r="I29" s="3"/>
    </row>
    <row r="30" spans="1:9" x14ac:dyDescent="0.4">
      <c r="A30"/>
      <c r="B30"/>
      <c r="C30"/>
      <c r="D30"/>
      <c r="E30"/>
      <c r="F30"/>
      <c r="G30"/>
      <c r="H30"/>
      <c r="I30" s="3"/>
    </row>
    <row r="31" spans="1:9" x14ac:dyDescent="0.4">
      <c r="A31"/>
      <c r="B31"/>
      <c r="C31"/>
      <c r="D31"/>
      <c r="E31"/>
      <c r="F31"/>
      <c r="G31"/>
      <c r="H31"/>
      <c r="I31" s="3"/>
    </row>
    <row r="32" spans="1:9" x14ac:dyDescent="0.4">
      <c r="A32"/>
      <c r="B32"/>
      <c r="C32"/>
      <c r="D32"/>
      <c r="E32"/>
      <c r="F32"/>
      <c r="G32"/>
      <c r="H32"/>
      <c r="I32" s="3"/>
    </row>
    <row r="33" spans="1:11" ht="15" x14ac:dyDescent="0.5">
      <c r="A33" s="20"/>
      <c r="J33" s="2"/>
      <c r="K33" s="2"/>
    </row>
    <row r="35" spans="1:11" ht="15" x14ac:dyDescent="0.5">
      <c r="J35" s="2"/>
      <c r="K35" s="2"/>
    </row>
    <row r="37" spans="1:11" x14ac:dyDescent="0.4">
      <c r="A37" s="29"/>
      <c r="B37" s="29"/>
      <c r="C37" s="67"/>
      <c r="D37" s="67"/>
      <c r="E37" s="67"/>
      <c r="F37" s="50"/>
      <c r="G37" s="50"/>
      <c r="H37" s="50"/>
    </row>
    <row r="38" spans="1:11" x14ac:dyDescent="0.4">
      <c r="A38" s="29"/>
      <c r="B38" s="29"/>
      <c r="C38" s="29"/>
      <c r="D38" s="29"/>
      <c r="E38" s="29"/>
      <c r="F38" s="29"/>
      <c r="G38" s="29"/>
      <c r="H38" s="29"/>
    </row>
    <row r="39" spans="1:11" ht="12.75" customHeight="1" x14ac:dyDescent="0.4">
      <c r="A39" s="68"/>
      <c r="B39" s="29"/>
      <c r="C39" s="29"/>
      <c r="D39" s="29"/>
      <c r="E39" s="29"/>
      <c r="F39" s="29"/>
      <c r="G39" s="29"/>
      <c r="H39" s="29"/>
    </row>
    <row r="40" spans="1:11" x14ac:dyDescent="0.4">
      <c r="A40" s="68"/>
      <c r="B40" s="29"/>
      <c r="C40" s="29"/>
      <c r="D40" s="29"/>
      <c r="E40" s="29"/>
      <c r="F40" s="29"/>
      <c r="G40" s="29"/>
      <c r="H40" s="29"/>
    </row>
    <row r="41" spans="1:11" x14ac:dyDescent="0.4">
      <c r="A41" s="29"/>
    </row>
    <row r="42" spans="1:11" x14ac:dyDescent="0.4">
      <c r="A42" s="29"/>
    </row>
    <row r="47" spans="1:11" x14ac:dyDescent="0.4">
      <c r="A47" s="29"/>
      <c r="B47" s="29"/>
      <c r="C47" s="67"/>
      <c r="D47" s="67"/>
      <c r="E47" s="67"/>
      <c r="F47" s="50"/>
      <c r="G47" s="50"/>
      <c r="H47" s="50"/>
    </row>
    <row r="48" spans="1:11" x14ac:dyDescent="0.4">
      <c r="A48" s="29"/>
      <c r="B48" s="29"/>
      <c r="C48" s="29"/>
      <c r="D48" s="29"/>
      <c r="E48" s="29"/>
      <c r="F48" s="29"/>
      <c r="G48" s="29"/>
      <c r="H48" s="29"/>
    </row>
    <row r="49" spans="1:8" ht="12.75" customHeight="1" x14ac:dyDescent="0.4">
      <c r="A49" s="68"/>
      <c r="B49" s="29"/>
      <c r="C49" s="29"/>
      <c r="D49" s="29"/>
      <c r="E49" s="29"/>
      <c r="F49" s="29"/>
      <c r="G49" s="29"/>
      <c r="H49" s="29"/>
    </row>
    <row r="50" spans="1:8" x14ac:dyDescent="0.4">
      <c r="A50" s="68"/>
      <c r="B50" s="29"/>
      <c r="C50" s="29"/>
      <c r="D50" s="29"/>
      <c r="E50" s="29"/>
      <c r="F50" s="29"/>
      <c r="G50" s="29"/>
      <c r="H50" s="29"/>
    </row>
    <row r="51" spans="1:8" x14ac:dyDescent="0.4">
      <c r="A51" s="29"/>
    </row>
  </sheetData>
  <mergeCells count="4">
    <mergeCell ref="C37:E37"/>
    <mergeCell ref="A39:A40"/>
    <mergeCell ref="C47:E47"/>
    <mergeCell ref="A49:A50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2"/>
  <sheetViews>
    <sheetView topLeftCell="A13" zoomScale="150" zoomScaleNormal="150" workbookViewId="0">
      <selection activeCell="D32" sqref="D32"/>
    </sheetView>
  </sheetViews>
  <sheetFormatPr defaultRowHeight="12.3" x14ac:dyDescent="0.4"/>
  <cols>
    <col min="1" max="1" width="11.44140625" customWidth="1"/>
    <col min="2" max="2" width="10.6640625" customWidth="1"/>
    <col min="3" max="3" width="6.6640625" customWidth="1"/>
    <col min="4" max="4" width="7.109375" customWidth="1"/>
    <col min="5" max="5" width="7.33203125" customWidth="1"/>
    <col min="6" max="6" width="6.5546875" customWidth="1"/>
    <col min="7" max="7" width="6.109375" customWidth="1"/>
    <col min="8" max="8" width="4.88671875" customWidth="1"/>
    <col min="9" max="9" width="6.44140625" customWidth="1"/>
    <col min="10" max="10" width="5.5546875" customWidth="1"/>
    <col min="11" max="11" width="4.109375" customWidth="1"/>
  </cols>
  <sheetData>
    <row r="1" spans="1:10" x14ac:dyDescent="0.4">
      <c r="A1" s="3" t="s">
        <v>81</v>
      </c>
    </row>
    <row r="2" spans="1:10" x14ac:dyDescent="0.4">
      <c r="A2" s="3" t="s">
        <v>82</v>
      </c>
    </row>
    <row r="3" spans="1:10" x14ac:dyDescent="0.4">
      <c r="A3" s="55" t="s">
        <v>94</v>
      </c>
    </row>
    <row r="4" spans="1:10" x14ac:dyDescent="0.4">
      <c r="A4" s="55" t="s">
        <v>83</v>
      </c>
    </row>
    <row r="5" spans="1:10" x14ac:dyDescent="0.4">
      <c r="A5" s="10" t="s">
        <v>95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4">
      <c r="A6" s="22" t="s">
        <v>96</v>
      </c>
    </row>
    <row r="7" spans="1:10" x14ac:dyDescent="0.4">
      <c r="A7" s="22" t="s">
        <v>84</v>
      </c>
      <c r="C7" s="33"/>
    </row>
    <row r="8" spans="1:10" x14ac:dyDescent="0.4">
      <c r="A8" s="10" t="s">
        <v>85</v>
      </c>
    </row>
    <row r="9" spans="1:10" x14ac:dyDescent="0.4">
      <c r="A9" s="16"/>
    </row>
    <row r="10" spans="1:10" x14ac:dyDescent="0.4">
      <c r="A10" s="28"/>
    </row>
    <row r="11" spans="1:10" x14ac:dyDescent="0.4">
      <c r="A11" s="56" t="s">
        <v>0</v>
      </c>
      <c r="C11" s="4"/>
      <c r="D11" s="4"/>
      <c r="E11" s="4"/>
    </row>
    <row r="12" spans="1:10" x14ac:dyDescent="0.4">
      <c r="A12" s="37" t="s">
        <v>3</v>
      </c>
      <c r="B12">
        <v>350</v>
      </c>
      <c r="C12" s="4"/>
      <c r="D12" s="4"/>
      <c r="E12" s="4"/>
    </row>
    <row r="13" spans="1:10" x14ac:dyDescent="0.4">
      <c r="A13" s="28" t="s">
        <v>6</v>
      </c>
      <c r="B13" s="28">
        <f>245/B12</f>
        <v>0.7</v>
      </c>
      <c r="C13" s="4"/>
      <c r="D13" s="4"/>
      <c r="E13" s="4"/>
    </row>
    <row r="14" spans="1:10" x14ac:dyDescent="0.4">
      <c r="A14" s="28"/>
      <c r="B14" s="28"/>
      <c r="C14" s="4"/>
      <c r="D14" s="4"/>
      <c r="E14" s="4"/>
    </row>
    <row r="15" spans="1:10" x14ac:dyDescent="0.4">
      <c r="A15" s="7" t="s">
        <v>10</v>
      </c>
      <c r="B15">
        <v>0.95</v>
      </c>
      <c r="C15" s="4"/>
      <c r="D15" s="28"/>
      <c r="E15" s="18"/>
    </row>
    <row r="16" spans="1:10" ht="14.7" x14ac:dyDescent="0.6">
      <c r="A16" s="28" t="s">
        <v>13</v>
      </c>
      <c r="B16">
        <f>-_xlfn.NORM.S.INV((1-B15)/2)</f>
        <v>1.9599639845400536</v>
      </c>
      <c r="C16" s="4"/>
      <c r="D16" s="28"/>
      <c r="E16" s="18"/>
    </row>
    <row r="17" spans="1:12" x14ac:dyDescent="0.4">
      <c r="A17" s="28" t="s">
        <v>11</v>
      </c>
      <c r="B17" s="28"/>
      <c r="C17" s="4">
        <f>B13-B16*SQRT(B13*(1-B13)/B12)</f>
        <v>0.65199088323644683</v>
      </c>
      <c r="D17" s="32"/>
      <c r="E17" s="32"/>
    </row>
    <row r="18" spans="1:12" x14ac:dyDescent="0.4">
      <c r="A18" s="28" t="s">
        <v>12</v>
      </c>
      <c r="B18" s="3"/>
      <c r="C18" s="4">
        <f>B13+B16*SQRT(B13*(1-B13)/B12)</f>
        <v>0.74800911676355308</v>
      </c>
      <c r="D18" s="32"/>
      <c r="E18" s="32"/>
    </row>
    <row r="19" spans="1:12" x14ac:dyDescent="0.4">
      <c r="A19" s="16"/>
      <c r="B19" s="3"/>
      <c r="C19" s="4"/>
      <c r="D19" s="32"/>
      <c r="E19" s="32"/>
    </row>
    <row r="20" spans="1:12" x14ac:dyDescent="0.4">
      <c r="A20" s="16" t="s">
        <v>1</v>
      </c>
      <c r="B20" s="3"/>
      <c r="C20" s="4"/>
      <c r="D20" s="32"/>
      <c r="E20" s="32"/>
    </row>
    <row r="21" spans="1:12" x14ac:dyDescent="0.4">
      <c r="A21" s="16" t="s">
        <v>86</v>
      </c>
      <c r="B21" s="28">
        <f>_xlfn.CEILING.MATH(B13*(1-B13)/(0.05/2/B16)^2)</f>
        <v>1291</v>
      </c>
      <c r="C21" s="4"/>
      <c r="D21" s="32"/>
      <c r="E21" s="32"/>
    </row>
    <row r="22" spans="1:12" x14ac:dyDescent="0.4">
      <c r="B22" s="28"/>
      <c r="C22" s="4"/>
      <c r="D22" s="37"/>
      <c r="E22" s="18"/>
    </row>
    <row r="23" spans="1:12" x14ac:dyDescent="0.4">
      <c r="A23" s="16" t="s">
        <v>2</v>
      </c>
      <c r="B23" s="3"/>
      <c r="C23" s="4"/>
      <c r="D23" s="4"/>
      <c r="E23" s="4"/>
    </row>
    <row r="24" spans="1:12" ht="14.7" x14ac:dyDescent="0.6">
      <c r="A24" s="28" t="s">
        <v>87</v>
      </c>
      <c r="B24">
        <v>0.78</v>
      </c>
      <c r="C24" s="4"/>
      <c r="D24" s="4"/>
      <c r="E24" s="4"/>
      <c r="L24" s="8"/>
    </row>
    <row r="25" spans="1:12" ht="14.7" x14ac:dyDescent="0.6">
      <c r="A25" s="28" t="s">
        <v>88</v>
      </c>
      <c r="B25">
        <v>0.78</v>
      </c>
      <c r="C25" s="4"/>
      <c r="D25" s="4"/>
      <c r="E25" s="28"/>
      <c r="L25" s="8"/>
    </row>
    <row r="26" spans="1:12" x14ac:dyDescent="0.4">
      <c r="A26" s="16"/>
      <c r="C26" s="4"/>
      <c r="D26" s="4"/>
      <c r="E26" s="4"/>
    </row>
    <row r="27" spans="1:12" x14ac:dyDescent="0.4">
      <c r="A27" s="7" t="s">
        <v>4</v>
      </c>
      <c r="B27">
        <v>0.05</v>
      </c>
      <c r="C27" s="4"/>
      <c r="D27" s="4"/>
      <c r="E27" s="57"/>
    </row>
    <row r="28" spans="1:12" ht="14.7" x14ac:dyDescent="0.6">
      <c r="A28" s="32" t="s">
        <v>16</v>
      </c>
      <c r="B28" s="34">
        <f>_xlfn.NORM.S.INV(B27)</f>
        <v>-1.6448536269514726</v>
      </c>
      <c r="C28" s="4"/>
      <c r="D28" s="4"/>
      <c r="E28" s="4"/>
    </row>
    <row r="29" spans="1:12" x14ac:dyDescent="0.4">
      <c r="A29" s="28"/>
      <c r="C29" s="4"/>
      <c r="D29" s="4"/>
      <c r="E29" s="28"/>
    </row>
    <row r="30" spans="1:12" x14ac:dyDescent="0.4">
      <c r="A30" s="29" t="s">
        <v>89</v>
      </c>
      <c r="B30" s="58">
        <f>(B13-B24)/SQRT(B24*(1-B24)/B12)</f>
        <v>-3.6129784186475673</v>
      </c>
      <c r="C30" s="4"/>
      <c r="D30" s="4"/>
      <c r="E30" s="4"/>
    </row>
    <row r="31" spans="1:12" x14ac:dyDescent="0.4">
      <c r="A31" s="4"/>
      <c r="B31" s="4"/>
      <c r="C31" s="4"/>
      <c r="D31" s="4"/>
      <c r="E31" s="57"/>
    </row>
    <row r="32" spans="1:12" x14ac:dyDescent="0.4">
      <c r="A32" s="27" t="s">
        <v>90</v>
      </c>
      <c r="B32" s="4"/>
      <c r="C32" s="4"/>
      <c r="D32" s="4"/>
      <c r="E32" s="4"/>
    </row>
    <row r="33" spans="1:9" x14ac:dyDescent="0.4">
      <c r="A33" s="4"/>
      <c r="B33" s="4"/>
      <c r="C33" s="4"/>
      <c r="D33" s="4"/>
      <c r="E33" s="4"/>
    </row>
    <row r="34" spans="1:9" x14ac:dyDescent="0.4">
      <c r="A34" s="29" t="s">
        <v>7</v>
      </c>
      <c r="B34" s="4"/>
      <c r="C34" s="4"/>
      <c r="D34" s="4"/>
      <c r="E34" s="4"/>
    </row>
    <row r="35" spans="1:9" x14ac:dyDescent="0.4">
      <c r="A35" s="37" t="s">
        <v>14</v>
      </c>
      <c r="B35" s="4">
        <f>_xlfn.NORM.S.DIST(B30,TRUE)</f>
        <v>1.5134995314376712E-4</v>
      </c>
      <c r="C35" s="4"/>
      <c r="D35" s="4"/>
      <c r="E35" s="4"/>
      <c r="G35" s="9"/>
      <c r="H35" s="8"/>
      <c r="I35" s="9"/>
    </row>
    <row r="36" spans="1:9" x14ac:dyDescent="0.4">
      <c r="A36" s="37" t="s">
        <v>91</v>
      </c>
      <c r="B36" s="4"/>
      <c r="C36" s="4"/>
      <c r="D36" s="4"/>
      <c r="E36" s="28"/>
    </row>
    <row r="37" spans="1:9" x14ac:dyDescent="0.4">
      <c r="A37" s="37" t="s">
        <v>92</v>
      </c>
      <c r="B37" s="4"/>
      <c r="C37" s="4"/>
      <c r="D37" s="4"/>
      <c r="E37" s="4"/>
    </row>
    <row r="38" spans="1:9" x14ac:dyDescent="0.4">
      <c r="A38" s="37" t="s">
        <v>93</v>
      </c>
      <c r="B38" s="4"/>
      <c r="C38" s="4"/>
      <c r="D38" s="4"/>
      <c r="E38" s="57"/>
    </row>
    <row r="39" spans="1:9" x14ac:dyDescent="0.4">
      <c r="A39" s="4"/>
      <c r="B39" s="4"/>
      <c r="C39" s="4"/>
      <c r="D39" s="4"/>
      <c r="E39" s="4"/>
    </row>
    <row r="40" spans="1:9" x14ac:dyDescent="0.4">
      <c r="A40" s="4"/>
      <c r="B40" s="4"/>
      <c r="C40" s="4"/>
      <c r="D40" s="4"/>
      <c r="E40" s="28"/>
    </row>
    <row r="41" spans="1:9" x14ac:dyDescent="0.4">
      <c r="A41" s="4"/>
      <c r="B41" s="4"/>
      <c r="C41" s="4"/>
      <c r="D41" s="4"/>
      <c r="E41" s="4"/>
    </row>
    <row r="42" spans="1:9" x14ac:dyDescent="0.4">
      <c r="A42" s="4"/>
      <c r="B42" s="4"/>
      <c r="C42" s="4"/>
      <c r="D42" s="4"/>
      <c r="E42" s="57"/>
    </row>
    <row r="43" spans="1:9" x14ac:dyDescent="0.4">
      <c r="A43" s="4"/>
      <c r="B43" s="4"/>
      <c r="C43" s="4"/>
      <c r="D43" s="4"/>
      <c r="E43" s="4"/>
    </row>
    <row r="44" spans="1:9" x14ac:dyDescent="0.4">
      <c r="A44" s="4"/>
      <c r="B44" s="4"/>
      <c r="C44" s="4"/>
      <c r="D44" s="4"/>
      <c r="E44" s="28"/>
    </row>
    <row r="45" spans="1:9" x14ac:dyDescent="0.4">
      <c r="A45" s="4"/>
      <c r="B45" s="4"/>
      <c r="C45" s="4"/>
      <c r="D45" s="4"/>
      <c r="E45" s="4"/>
    </row>
    <row r="46" spans="1:9" x14ac:dyDescent="0.4">
      <c r="A46" s="4"/>
      <c r="B46" s="4"/>
      <c r="C46" s="4"/>
      <c r="D46" s="4"/>
      <c r="E46" s="57"/>
    </row>
    <row r="47" spans="1:9" x14ac:dyDescent="0.4">
      <c r="A47" s="4"/>
      <c r="B47" s="4"/>
      <c r="C47" s="4"/>
      <c r="D47" s="4"/>
      <c r="E47" s="4"/>
    </row>
    <row r="48" spans="1:9" x14ac:dyDescent="0.4">
      <c r="A48" s="4"/>
      <c r="B48" s="4"/>
      <c r="C48" s="4"/>
      <c r="D48" s="4"/>
      <c r="E48" s="28"/>
    </row>
    <row r="49" spans="1:5" x14ac:dyDescent="0.4">
      <c r="A49" s="4"/>
      <c r="B49" s="4"/>
      <c r="C49" s="4"/>
      <c r="D49" s="4"/>
      <c r="E49" s="4"/>
    </row>
    <row r="50" spans="1:5" x14ac:dyDescent="0.4">
      <c r="A50" s="4"/>
      <c r="B50" s="4"/>
      <c r="C50" s="4"/>
      <c r="D50" s="4"/>
      <c r="E50" s="57"/>
    </row>
    <row r="51" spans="1:5" x14ac:dyDescent="0.4">
      <c r="A51" s="4"/>
      <c r="B51" s="4"/>
      <c r="C51" s="4"/>
      <c r="D51" s="4"/>
      <c r="E51" s="4"/>
    </row>
    <row r="52" spans="1:5" x14ac:dyDescent="0.4">
      <c r="A52" s="4"/>
      <c r="B52" s="4"/>
      <c r="C52" s="4"/>
      <c r="D52" s="4"/>
      <c r="E52" s="57"/>
    </row>
  </sheetData>
  <phoneticPr fontId="2" type="noConversion"/>
  <pageMargins left="0.75" right="0.75" top="1" bottom="1" header="0.5" footer="0.5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9"/>
  <sheetViews>
    <sheetView zoomScale="150" zoomScaleNormal="150" workbookViewId="0">
      <selection activeCell="A8" sqref="A8"/>
    </sheetView>
  </sheetViews>
  <sheetFormatPr defaultRowHeight="12.3" x14ac:dyDescent="0.4"/>
  <sheetData>
    <row r="1" spans="1:11" x14ac:dyDescent="0.4">
      <c r="A1" s="3" t="s">
        <v>135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x14ac:dyDescent="0.4">
      <c r="A2" s="3" t="s">
        <v>134</v>
      </c>
      <c r="B2" s="3"/>
      <c r="C2" s="4"/>
      <c r="D2" s="4"/>
      <c r="E2" s="4"/>
      <c r="F2" s="4"/>
      <c r="G2" s="4"/>
      <c r="H2" s="4"/>
      <c r="I2" s="4"/>
      <c r="J2" s="4"/>
      <c r="K2" s="4"/>
    </row>
    <row r="3" spans="1:11" x14ac:dyDescent="0.4">
      <c r="A3" s="3" t="s">
        <v>22</v>
      </c>
      <c r="B3" s="3"/>
      <c r="C3" s="4"/>
      <c r="D3" s="4"/>
      <c r="E3" s="4"/>
      <c r="F3" s="4"/>
      <c r="G3" s="4"/>
      <c r="H3" s="4"/>
      <c r="I3" s="4"/>
      <c r="J3" s="4"/>
      <c r="K3" s="4"/>
    </row>
    <row r="4" spans="1:11" x14ac:dyDescent="0.4">
      <c r="A4" s="3" t="s">
        <v>15</v>
      </c>
      <c r="B4" s="3"/>
      <c r="C4" s="4"/>
      <c r="D4" s="4"/>
      <c r="E4" s="4"/>
      <c r="F4" s="4"/>
      <c r="G4" s="4"/>
      <c r="H4" s="4"/>
      <c r="I4" s="4"/>
      <c r="J4" s="4"/>
      <c r="K4" s="4"/>
    </row>
    <row r="5" spans="1:11" x14ac:dyDescent="0.4">
      <c r="A5" s="3" t="s">
        <v>23</v>
      </c>
      <c r="B5" s="3"/>
      <c r="C5" s="4"/>
      <c r="D5" s="4"/>
      <c r="E5" s="4"/>
      <c r="F5" s="4"/>
      <c r="G5" s="4"/>
      <c r="H5" s="4"/>
      <c r="I5" s="4"/>
      <c r="J5" s="4"/>
      <c r="K5" s="4"/>
    </row>
    <row r="6" spans="1:11" x14ac:dyDescent="0.4">
      <c r="A6" s="3" t="s">
        <v>24</v>
      </c>
      <c r="B6" s="19"/>
      <c r="C6" s="19"/>
      <c r="D6" s="19"/>
      <c r="E6" s="4"/>
      <c r="F6" s="4"/>
      <c r="G6" s="4"/>
      <c r="H6" s="4"/>
      <c r="I6" s="4"/>
      <c r="J6" s="4"/>
      <c r="K6" s="4"/>
    </row>
    <row r="7" spans="1:11" x14ac:dyDescent="0.4">
      <c r="A7" s="21"/>
      <c r="B7" s="10"/>
      <c r="C7" s="10"/>
      <c r="D7" s="10"/>
      <c r="E7" s="23"/>
      <c r="F7" s="24"/>
      <c r="G7" s="24"/>
      <c r="H7" s="24"/>
      <c r="I7" s="24"/>
      <c r="J7" s="24"/>
      <c r="K7" s="25"/>
    </row>
    <row r="8" spans="1:11" x14ac:dyDescent="0.4">
      <c r="A8" s="69" t="s">
        <v>136</v>
      </c>
      <c r="B8">
        <v>1</v>
      </c>
      <c r="C8" s="33"/>
      <c r="D8" s="4"/>
      <c r="E8" s="23"/>
      <c r="F8" s="24"/>
      <c r="G8" s="24"/>
      <c r="H8" s="24"/>
      <c r="I8" s="25"/>
      <c r="J8" s="25"/>
      <c r="K8" s="25"/>
    </row>
    <row r="9" spans="1:11" ht="15" x14ac:dyDescent="0.5">
      <c r="A9" s="16" t="s">
        <v>3</v>
      </c>
      <c r="B9">
        <v>81</v>
      </c>
      <c r="D9" s="29"/>
      <c r="E9" s="1"/>
      <c r="F9" s="4"/>
      <c r="G9" s="4"/>
      <c r="H9" s="4"/>
      <c r="I9" s="4"/>
      <c r="J9" s="4"/>
      <c r="K9" s="4"/>
    </row>
    <row r="10" spans="1:11" x14ac:dyDescent="0.4">
      <c r="A10" s="16" t="s">
        <v>5</v>
      </c>
      <c r="B10">
        <v>32.4</v>
      </c>
      <c r="D10" s="29"/>
      <c r="E10" s="4"/>
      <c r="F10" s="4"/>
      <c r="G10" s="4"/>
      <c r="H10" s="4"/>
      <c r="I10" s="4"/>
      <c r="J10" s="4"/>
      <c r="K10" s="4"/>
    </row>
    <row r="11" spans="1:11" x14ac:dyDescent="0.4">
      <c r="A11" s="28" t="s">
        <v>0</v>
      </c>
      <c r="D11" s="29"/>
      <c r="E11" s="15"/>
      <c r="F11" s="15"/>
      <c r="G11" s="4"/>
      <c r="H11" s="4"/>
      <c r="I11" s="4"/>
      <c r="J11" s="4"/>
      <c r="K11" s="4"/>
    </row>
    <row r="12" spans="1:11" ht="14.7" x14ac:dyDescent="0.6">
      <c r="A12" s="28" t="s">
        <v>8</v>
      </c>
      <c r="B12">
        <v>33</v>
      </c>
      <c r="D12" s="29"/>
      <c r="E12" s="15"/>
      <c r="F12" s="15"/>
      <c r="G12" s="4"/>
      <c r="H12" s="4"/>
      <c r="I12" s="4"/>
      <c r="J12" s="4"/>
      <c r="K12" s="4"/>
    </row>
    <row r="13" spans="1:11" ht="14.7" x14ac:dyDescent="0.6">
      <c r="A13" s="28" t="s">
        <v>9</v>
      </c>
      <c r="B13">
        <v>33</v>
      </c>
      <c r="D13" s="29"/>
      <c r="E13" s="15"/>
      <c r="F13" s="15"/>
      <c r="G13" s="4"/>
      <c r="H13" s="4"/>
      <c r="I13" s="4"/>
      <c r="J13" s="4"/>
      <c r="K13" s="4"/>
    </row>
    <row r="14" spans="1:11" x14ac:dyDescent="0.4">
      <c r="D14" s="29"/>
      <c r="E14" s="15"/>
      <c r="F14" s="15"/>
      <c r="G14" s="4"/>
      <c r="H14" s="4"/>
      <c r="I14" s="4"/>
      <c r="J14" s="4"/>
      <c r="K14" s="4"/>
    </row>
    <row r="15" spans="1:11" x14ac:dyDescent="0.4">
      <c r="A15" s="7" t="s">
        <v>4</v>
      </c>
      <c r="B15">
        <v>0.1</v>
      </c>
      <c r="D15" s="29"/>
      <c r="E15" s="15"/>
      <c r="F15" s="15"/>
      <c r="G15" s="4"/>
      <c r="H15" s="4"/>
      <c r="I15" s="4"/>
      <c r="J15" s="4"/>
      <c r="K15" s="4"/>
    </row>
    <row r="16" spans="1:11" ht="14.7" x14ac:dyDescent="0.6">
      <c r="A16" s="32" t="s">
        <v>16</v>
      </c>
      <c r="B16">
        <f>_xlfn.NORM.S.INV(B15)</f>
        <v>-1.2815515655446006</v>
      </c>
      <c r="D16" s="29"/>
      <c r="E16" s="15"/>
      <c r="F16" s="15"/>
      <c r="G16" s="4"/>
      <c r="H16" s="4"/>
      <c r="I16" s="4"/>
      <c r="J16" s="4"/>
      <c r="K16" s="4"/>
    </row>
    <row r="17" spans="1:11" x14ac:dyDescent="0.4">
      <c r="D17" s="29"/>
      <c r="E17" s="4"/>
      <c r="F17" s="4"/>
      <c r="G17" s="4"/>
      <c r="H17" s="4"/>
      <c r="I17" s="4"/>
      <c r="J17" s="4"/>
      <c r="K17" s="4"/>
    </row>
    <row r="18" spans="1:11" x14ac:dyDescent="0.4">
      <c r="A18" t="s">
        <v>5</v>
      </c>
      <c r="B18">
        <f>B10</f>
        <v>32.4</v>
      </c>
      <c r="D18" s="29"/>
      <c r="E18" s="4"/>
      <c r="F18" s="4"/>
      <c r="G18" s="4"/>
      <c r="H18" s="4"/>
      <c r="I18" s="4"/>
      <c r="J18" s="4"/>
      <c r="K18" s="4"/>
    </row>
    <row r="19" spans="1:11" x14ac:dyDescent="0.4">
      <c r="A19" s="28" t="s">
        <v>17</v>
      </c>
      <c r="B19" s="34">
        <f>(B18-B12)/SQRT(B8^2/B9)</f>
        <v>-5.4000000000000128</v>
      </c>
      <c r="D19" s="29"/>
      <c r="E19" s="4"/>
      <c r="F19" s="4"/>
      <c r="G19" s="4"/>
      <c r="H19" s="4"/>
      <c r="I19" s="4"/>
      <c r="J19" s="4"/>
      <c r="K19" s="4"/>
    </row>
    <row r="20" spans="1:11" x14ac:dyDescent="0.4">
      <c r="D20" s="29"/>
      <c r="E20" s="4"/>
      <c r="F20" s="4"/>
      <c r="G20" s="4"/>
      <c r="H20" s="4"/>
      <c r="I20" s="4"/>
      <c r="J20" s="4"/>
      <c r="K20" s="4"/>
    </row>
    <row r="21" spans="1:11" x14ac:dyDescent="0.4">
      <c r="A21" t="s">
        <v>18</v>
      </c>
      <c r="D21" s="29"/>
      <c r="E21" s="4"/>
      <c r="F21" s="4"/>
      <c r="G21" s="4"/>
      <c r="H21" s="4"/>
      <c r="I21" s="4"/>
      <c r="J21" s="4"/>
      <c r="K21" s="4"/>
    </row>
    <row r="22" spans="1:11" x14ac:dyDescent="0.4">
      <c r="D22" s="4"/>
      <c r="E22" s="4"/>
      <c r="F22" s="4"/>
      <c r="G22" s="4"/>
      <c r="H22" s="4"/>
      <c r="I22" s="4"/>
      <c r="J22" s="4"/>
      <c r="K22" s="4"/>
    </row>
    <row r="23" spans="1:11" x14ac:dyDescent="0.4">
      <c r="A23" t="s">
        <v>1</v>
      </c>
      <c r="D23" s="29"/>
      <c r="E23" s="4"/>
      <c r="F23" s="4"/>
      <c r="G23" s="4"/>
      <c r="H23" s="4"/>
      <c r="I23" s="4"/>
      <c r="J23" s="4"/>
      <c r="K23" s="4"/>
    </row>
    <row r="24" spans="1:11" x14ac:dyDescent="0.4">
      <c r="A24" s="28" t="s">
        <v>19</v>
      </c>
      <c r="D24" s="29"/>
      <c r="E24" s="4"/>
      <c r="F24" s="4"/>
      <c r="G24" s="4"/>
      <c r="H24" s="4"/>
      <c r="I24" s="4"/>
      <c r="J24" s="4"/>
      <c r="K24" s="4"/>
    </row>
    <row r="25" spans="1:11" x14ac:dyDescent="0.4">
      <c r="A25" s="28" t="s">
        <v>20</v>
      </c>
      <c r="D25" s="29"/>
      <c r="E25" s="4"/>
      <c r="F25" s="4"/>
      <c r="G25" s="4"/>
      <c r="H25" s="4"/>
      <c r="I25" s="4"/>
      <c r="J25" s="4"/>
      <c r="K25" s="4"/>
    </row>
    <row r="26" spans="1:11" x14ac:dyDescent="0.4">
      <c r="D26" s="31"/>
      <c r="E26" s="4"/>
      <c r="F26" s="4"/>
      <c r="G26" s="4"/>
      <c r="H26" s="4"/>
      <c r="I26" s="4"/>
      <c r="J26" s="4"/>
      <c r="K26" s="4"/>
    </row>
    <row r="27" spans="1:11" x14ac:dyDescent="0.4">
      <c r="A27" t="s">
        <v>2</v>
      </c>
      <c r="D27" s="29"/>
      <c r="E27" s="4"/>
      <c r="F27" s="4"/>
      <c r="G27" s="4"/>
      <c r="H27" s="4"/>
      <c r="I27" s="4"/>
      <c r="J27" s="4"/>
      <c r="K27" s="4"/>
    </row>
    <row r="28" spans="1:11" x14ac:dyDescent="0.4">
      <c r="A28" s="7" t="s">
        <v>10</v>
      </c>
      <c r="B28">
        <v>0.9</v>
      </c>
      <c r="D28" s="4"/>
      <c r="E28" s="4"/>
      <c r="F28" s="4"/>
      <c r="G28" s="4"/>
      <c r="H28" s="4"/>
      <c r="I28" s="4"/>
      <c r="J28" s="4"/>
      <c r="K28" s="4"/>
    </row>
    <row r="29" spans="1:11" ht="14.7" x14ac:dyDescent="0.6">
      <c r="A29" s="35" t="s">
        <v>21</v>
      </c>
      <c r="B29">
        <f>_xlfn.NORM.S.INV(B28+(1-B28)/2)</f>
        <v>1.6448536269514715</v>
      </c>
      <c r="D29" s="4"/>
      <c r="E29" s="18"/>
      <c r="F29" s="6"/>
      <c r="G29" s="18"/>
      <c r="H29" s="4"/>
      <c r="I29" s="4"/>
      <c r="J29" s="4"/>
      <c r="K29" s="4"/>
    </row>
    <row r="30" spans="1:11" x14ac:dyDescent="0.4">
      <c r="A30" s="7"/>
      <c r="D30" s="4"/>
      <c r="E30" s="18"/>
      <c r="F30" s="6"/>
      <c r="G30" s="18"/>
      <c r="H30" s="4"/>
      <c r="I30" s="4"/>
      <c r="J30" s="4"/>
      <c r="K30" s="4"/>
    </row>
    <row r="31" spans="1:11" x14ac:dyDescent="0.4">
      <c r="A31" t="s">
        <v>11</v>
      </c>
      <c r="C31">
        <f>B18-B29*SQRT(B8^2/B9)</f>
        <v>32.217238485894278</v>
      </c>
      <c r="D31" s="6"/>
      <c r="E31" s="17"/>
      <c r="F31" s="17"/>
      <c r="G31" s="17"/>
      <c r="H31" s="17"/>
      <c r="I31" s="17"/>
      <c r="J31" s="17"/>
      <c r="K31" s="17"/>
    </row>
    <row r="32" spans="1:11" x14ac:dyDescent="0.4">
      <c r="A32" t="s">
        <v>12</v>
      </c>
      <c r="C32">
        <f>B18+B29*SQRT(B8^2/B9)</f>
        <v>32.582761514105719</v>
      </c>
      <c r="D32" s="17"/>
      <c r="E32" s="17"/>
      <c r="F32" s="17"/>
      <c r="G32" s="17"/>
      <c r="H32" s="17"/>
      <c r="I32" s="17"/>
      <c r="J32" s="17"/>
      <c r="K32" s="17"/>
    </row>
    <row r="33" spans="1:11" x14ac:dyDescent="0.4">
      <c r="D33" s="17"/>
      <c r="E33" s="17"/>
      <c r="F33" s="17"/>
      <c r="G33" s="17"/>
      <c r="H33" s="17"/>
      <c r="I33" s="17"/>
      <c r="J33" s="17"/>
      <c r="K33" s="17"/>
    </row>
    <row r="34" spans="1:11" x14ac:dyDescent="0.4">
      <c r="A34" t="s">
        <v>7</v>
      </c>
      <c r="D34" s="17"/>
      <c r="E34" s="17"/>
      <c r="F34" s="17"/>
      <c r="G34" s="17"/>
      <c r="H34" s="17"/>
      <c r="I34" s="17"/>
      <c r="J34" s="17"/>
      <c r="K34" s="17"/>
    </row>
    <row r="35" spans="1:11" x14ac:dyDescent="0.4">
      <c r="A35" s="7" t="s">
        <v>10</v>
      </c>
      <c r="B35">
        <v>0.9</v>
      </c>
    </row>
    <row r="36" spans="1:11" ht="14.7" x14ac:dyDescent="0.6">
      <c r="A36" s="35" t="s">
        <v>25</v>
      </c>
      <c r="B36">
        <f>_xlfn.CHISQ.INV(B35+(1-B35)/2,B9-1)</f>
        <v>101.87947396543588</v>
      </c>
    </row>
    <row r="37" spans="1:11" ht="14.7" x14ac:dyDescent="0.6">
      <c r="A37" s="35" t="s">
        <v>26</v>
      </c>
      <c r="B37">
        <f>_xlfn.CHISQ.INV((1-B35)/2,B9-1)</f>
        <v>60.391478388689457</v>
      </c>
    </row>
    <row r="38" spans="1:11" x14ac:dyDescent="0.4">
      <c r="A38" t="s">
        <v>11</v>
      </c>
      <c r="C38">
        <f>B8^2*(B9-1)/B36</f>
        <v>0.78524158877323202</v>
      </c>
    </row>
    <row r="39" spans="1:11" x14ac:dyDescent="0.4">
      <c r="A39" t="s">
        <v>12</v>
      </c>
      <c r="C39">
        <f>B8^2*(B9-1)/B37</f>
        <v>1.3246902068716861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Foglio1</vt:lpstr>
      <vt:lpstr>Foglio2</vt:lpstr>
      <vt:lpstr>Foglio3</vt:lpstr>
      <vt:lpstr>Foglio4</vt:lpstr>
      <vt:lpstr>Foglio5</vt:lpstr>
      <vt:lpstr>Foglio6</vt:lpstr>
    </vt:vector>
  </TitlesOfParts>
  <Company>Università di Macerata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utente</cp:lastModifiedBy>
  <cp:lastPrinted>2010-12-01T13:54:57Z</cp:lastPrinted>
  <dcterms:created xsi:type="dcterms:W3CDTF">2010-11-23T22:03:56Z</dcterms:created>
  <dcterms:modified xsi:type="dcterms:W3CDTF">2023-02-14T11:01:46Z</dcterms:modified>
</cp:coreProperties>
</file>