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Appello 20221220\"/>
    </mc:Choice>
  </mc:AlternateContent>
  <xr:revisionPtr revIDLastSave="0" documentId="13_ncr:1_{44AE2A0D-17A0-48CD-AE5D-BEA4E40F506B}" xr6:coauthVersionLast="36" xr6:coauthVersionMax="36" xr10:uidLastSave="{00000000-0000-0000-0000-000000000000}"/>
  <bookViews>
    <workbookView xWindow="240" yWindow="36" windowWidth="15480" windowHeight="8952" xr2:uid="{00000000-000D-0000-FFFF-FFFF00000000}"/>
  </bookViews>
  <sheets>
    <sheet name="Foglio1" sheetId="4" r:id="rId1"/>
    <sheet name="Foglio2" sheetId="8" r:id="rId2"/>
    <sheet name="Foglio3" sheetId="3" r:id="rId3"/>
    <sheet name="Foglio4" sheetId="5" r:id="rId4"/>
    <sheet name="Foglio5" sheetId="9" r:id="rId5"/>
    <sheet name="Foglio6" sheetId="7" r:id="rId6"/>
  </sheets>
  <definedNames>
    <definedName name="_xlnm.Print_Area" localSheetId="0">Foglio1!$A$1:$R$68</definedName>
    <definedName name="_xlnm.Print_Area" localSheetId="1">Foglio2!#REF!</definedName>
    <definedName name="_xlnm.Print_Area" localSheetId="2">Foglio3!$A$1:$R$67</definedName>
    <definedName name="_xlnm.Print_Area" localSheetId="3">Foglio4!$A$1:$V$55</definedName>
    <definedName name="_xlnm.Print_Area" localSheetId="4">Foglio5!#REF!</definedName>
    <definedName name="_xlnm.Print_Area" localSheetId="5">Foglio6!$A$1:$S$63</definedName>
  </definedNames>
  <calcPr calcId="191029"/>
</workbook>
</file>

<file path=xl/calcChain.xml><?xml version="1.0" encoding="utf-8"?>
<calcChain xmlns="http://schemas.openxmlformats.org/spreadsheetml/2006/main">
  <c r="D24" i="9" l="1"/>
  <c r="B24" i="9"/>
  <c r="E24" i="3"/>
  <c r="B17" i="3"/>
  <c r="B10" i="9"/>
  <c r="B34" i="7"/>
  <c r="B32" i="7"/>
  <c r="B29" i="7"/>
  <c r="B17" i="7"/>
  <c r="D18" i="7" s="1"/>
  <c r="D19" i="7" l="1"/>
  <c r="C22" i="7" s="1"/>
  <c r="C24" i="7" s="1"/>
  <c r="B25" i="7" s="1"/>
  <c r="J22" i="3"/>
  <c r="H22" i="3"/>
  <c r="F22" i="3"/>
  <c r="D22" i="3"/>
  <c r="B21" i="3"/>
  <c r="B9" i="3"/>
  <c r="B15" i="3" s="1"/>
  <c r="I29" i="5" l="1"/>
  <c r="G29" i="5"/>
  <c r="E29" i="5"/>
  <c r="B27" i="5"/>
  <c r="B22" i="5"/>
  <c r="B21" i="5"/>
  <c r="B20" i="5"/>
  <c r="H16" i="5"/>
  <c r="F16" i="5"/>
  <c r="B16" i="5"/>
  <c r="D16" i="5"/>
  <c r="C13" i="5"/>
  <c r="E13" i="5" s="1"/>
  <c r="D22" i="5" l="1"/>
  <c r="J16" i="5"/>
  <c r="F29" i="8" l="1"/>
  <c r="B23" i="8"/>
  <c r="B26" i="8"/>
  <c r="H19" i="8"/>
  <c r="H18" i="8"/>
  <c r="H17" i="8"/>
  <c r="B17" i="8"/>
  <c r="B18" i="8"/>
  <c r="B19" i="8"/>
  <c r="A18" i="8"/>
  <c r="A19" i="8"/>
  <c r="A17" i="8"/>
  <c r="I19" i="8" l="1"/>
  <c r="I18" i="8"/>
  <c r="I17" i="8"/>
  <c r="D19" i="8"/>
  <c r="B20" i="8"/>
  <c r="F17" i="8" s="1"/>
  <c r="G17" i="8" s="1"/>
  <c r="D18" i="8"/>
  <c r="D17" i="8"/>
  <c r="I20" i="8" l="1"/>
  <c r="F18" i="8"/>
  <c r="G18" i="8" s="1"/>
  <c r="G19" i="8" s="1"/>
  <c r="F20" i="8"/>
  <c r="F19" i="8"/>
  <c r="E17" i="8"/>
  <c r="E19" i="8"/>
  <c r="E18" i="8"/>
  <c r="E39" i="4" l="1"/>
  <c r="B26" i="4"/>
  <c r="C28" i="4" l="1"/>
  <c r="L4" i="4"/>
  <c r="L5" i="4"/>
  <c r="B27" i="4"/>
  <c r="D29" i="4" s="1"/>
  <c r="D32" i="4" s="1"/>
  <c r="B23" i="9"/>
  <c r="B11" i="9"/>
  <c r="B15" i="9"/>
  <c r="D17" i="9" l="1"/>
  <c r="D16" i="9"/>
  <c r="E28" i="4"/>
  <c r="E31" i="4" s="1"/>
  <c r="F29" i="4"/>
  <c r="F32" i="4" s="1"/>
  <c r="E29" i="4"/>
  <c r="E32" i="4" s="1"/>
  <c r="C29" i="4"/>
  <c r="C32" i="4" s="1"/>
  <c r="B29" i="4"/>
  <c r="C31" i="4"/>
  <c r="D28" i="4"/>
  <c r="F28" i="4"/>
  <c r="B28" i="4"/>
  <c r="G28" i="4" l="1"/>
  <c r="G29" i="4"/>
  <c r="C30" i="4"/>
  <c r="E30" i="4"/>
  <c r="B32" i="4"/>
  <c r="G32" i="4" s="1"/>
  <c r="B30" i="4"/>
  <c r="B31" i="4"/>
  <c r="F31" i="4"/>
  <c r="F30" i="4"/>
  <c r="D31" i="4"/>
  <c r="D30" i="4"/>
  <c r="G31" i="4" l="1"/>
  <c r="G30" i="4"/>
  <c r="B37" i="4" l="1"/>
  <c r="B35" i="4"/>
  <c r="B34" i="4" s="1"/>
</calcChain>
</file>

<file path=xl/sharedStrings.xml><?xml version="1.0" encoding="utf-8"?>
<sst xmlns="http://schemas.openxmlformats.org/spreadsheetml/2006/main" count="168" uniqueCount="130">
  <si>
    <t>a)</t>
  </si>
  <si>
    <t>b)</t>
  </si>
  <si>
    <t>c)</t>
  </si>
  <si>
    <t>) =</t>
  </si>
  <si>
    <t>n =</t>
  </si>
  <si>
    <t>xm =</t>
  </si>
  <si>
    <t>s =</t>
  </si>
  <si>
    <t>a =</t>
  </si>
  <si>
    <r>
      <t>z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=</t>
    </r>
  </si>
  <si>
    <t xml:space="preserve">Estremo inferiore dell'intervallo = </t>
  </si>
  <si>
    <t xml:space="preserve">Estremo superiore dell'intervallo = </t>
  </si>
  <si>
    <t>1-a =</t>
  </si>
  <si>
    <t>Statistica test =</t>
  </si>
  <si>
    <t>d)</t>
  </si>
  <si>
    <t>media =</t>
  </si>
  <si>
    <r>
      <t>-z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</si>
  <si>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d) Cosa rappresenta alfa nella verifica delle ipotesi e come viene scelto il suo valore nel caso in cui commettere un errore di prima specie risulti particolarmente grave?</t>
  </si>
  <si>
    <t>Alfa rappresenta la probabilità di commettere un errore di prima specie ossia rifiutare l'ipotesi nulla quando questa è vera. Nel caso in cui commettere</t>
  </si>
  <si>
    <t>questo tipo di errore risulti particolarmente grave, alfa va scelto molto piccolo, ad esempio pari all'1% o allo 0,1%.</t>
  </si>
  <si>
    <t>c) Si calcoli l'indice di determinazione e si commenti il risultato</t>
  </si>
  <si>
    <t>ym =</t>
  </si>
  <si>
    <t>x-xm</t>
  </si>
  <si>
    <t>y-ym</t>
  </si>
  <si>
    <t>(x-xm)*(y-ym)</t>
  </si>
  <si>
    <t>(x-xm)^2</t>
  </si>
  <si>
    <t>(y-ym)^2</t>
  </si>
  <si>
    <t>b0 =</t>
  </si>
  <si>
    <t>b1 =</t>
  </si>
  <si>
    <t>R2 =</t>
  </si>
  <si>
    <t xml:space="preserve">in 5 diversi punti vendita. </t>
  </si>
  <si>
    <t>a) Si rappresentino graficamente i dati</t>
  </si>
  <si>
    <t>Quantità (in numero di pezzi)</t>
  </si>
  <si>
    <t>pezzi</t>
  </si>
  <si>
    <t>-</t>
  </si>
  <si>
    <t>=</t>
  </si>
  <si>
    <t>contro l'alternativa che tale percentuale sia diversa dal 10%? Si motivi adeguatamente la risposta.</t>
  </si>
  <si>
    <t>Possiamo rifiutare l'ipotesi nulla.</t>
  </si>
  <si>
    <t xml:space="preserve">La seguente tabella mostra la quantità venduta in un mese di un certo prodotto (in numero di pezzi) e lo spazio espositivo dediato al prodotto (in metri lineari), </t>
  </si>
  <si>
    <t>Spazio espositivo (in metri)</t>
  </si>
  <si>
    <t>b) Si stimino i parametri di una retta di regressione per prevedere la quantità venduta in funzione dello spazio espositivo e si interpretino i valori ottenuti per i coefficienti.</t>
  </si>
  <si>
    <t>d) Si preveda la quantità venduta in corrispondenza di uno spazio espositivo di 3 metri.</t>
  </si>
  <si>
    <t xml:space="preserve">Se lo spazio espositivo aumenta di un metro, ci aspettiamo che in media le vendite aumentino di 16 pezzi al mese. </t>
  </si>
  <si>
    <t>La retta di regressione approssima abbastanza bene i dati</t>
  </si>
  <si>
    <t>Numero di pezzi venduti, con uno spazio espositivo di 3 metri=</t>
  </si>
  <si>
    <t>Si consideri la seguente distribuzione di 200</t>
  </si>
  <si>
    <t>imprese per classi di fatturato:</t>
  </si>
  <si>
    <t>Classi di fatturato</t>
  </si>
  <si>
    <t>N.</t>
  </si>
  <si>
    <t>(migliaia di euro)</t>
  </si>
  <si>
    <t>imprese</t>
  </si>
  <si>
    <t>a) Si rappresenti graficamente la distribuzione in maniera opportuna.</t>
  </si>
  <si>
    <t>b) Si calcoli il valore medio del fatturato, specificando quali assunzioni è necessario fare per poter ottenere il risultato.</t>
  </si>
  <si>
    <t>c) Si calcoli il valore mediano del fatturato e lo si confronti con il fatturato medio spiegando a cosa siano dovute eventuali divergenze.</t>
  </si>
  <si>
    <t>Classi di fatturato (migliaia di euro)</t>
  </si>
  <si>
    <t>N. imprese</t>
  </si>
  <si>
    <t>Ampiezza intervallo</t>
  </si>
  <si>
    <t>Densità</t>
  </si>
  <si>
    <t>Densità relative</t>
  </si>
  <si>
    <t>Frequenze relative</t>
  </si>
  <si>
    <t>Frequenze relative cumulate</t>
  </si>
  <si>
    <t>valore centrale</t>
  </si>
  <si>
    <t>ni*xi</t>
  </si>
  <si>
    <t>mediana =</t>
  </si>
  <si>
    <t>%</t>
  </si>
  <si>
    <t xml:space="preserve">(100-250] </t>
  </si>
  <si>
    <t xml:space="preserve">(250-500] </t>
  </si>
  <si>
    <t xml:space="preserve">(500-2500] </t>
  </si>
  <si>
    <t>d) Si calcoli la percentuale di imprese con fatturato inferiore a 300 mila euro.</t>
  </si>
  <si>
    <t>Percentuale di imprese con fatturato minore di 300 mila euro =</t>
  </si>
  <si>
    <t>mu =</t>
  </si>
  <si>
    <t xml:space="preserve">sigma^2 = </t>
  </si>
  <si>
    <r>
      <t>P(Z</t>
    </r>
    <r>
      <rPr>
        <sz val="10"/>
        <rFont val="Symbol"/>
        <family val="1"/>
        <charset val="2"/>
      </rPr>
      <t>&gt;</t>
    </r>
  </si>
  <si>
    <t>)=</t>
  </si>
  <si>
    <t>&lt; Z &lt;</t>
  </si>
  <si>
    <t>p =</t>
  </si>
  <si>
    <t>+</t>
  </si>
  <si>
    <t>Il tempo di attesa presso uno sportello bancario nell'ora di punta</t>
  </si>
  <si>
    <t>si distribuisce come una variabile aleatoria normale</t>
  </si>
  <si>
    <t xml:space="preserve">di valore atteso 20 minuti e deviazione standard pari a 5 minuti. Determinare la probabilità che </t>
  </si>
  <si>
    <t>a) l'attesa duri più di 30 minuti.</t>
  </si>
  <si>
    <t xml:space="preserve">b) il viaggio duri tra i 15 e i 27 minuti. </t>
  </si>
  <si>
    <t>d) su 5 clienti entrati durante l'ora di punta, al massimo uno aspetti più di 30 minuti.</t>
  </si>
  <si>
    <t>c) 5 clienti entrati durante l'ora di punta aspettino in media più di 25 minuti.</t>
  </si>
  <si>
    <t>Indichiamo con X la v.a. tempo di attesa</t>
  </si>
  <si>
    <r>
      <t>P(X</t>
    </r>
    <r>
      <rPr>
        <sz val="10"/>
        <rFont val="Symbol"/>
        <family val="1"/>
        <charset val="2"/>
      </rPr>
      <t>&gt;30</t>
    </r>
    <r>
      <rPr>
        <sz val="10"/>
        <rFont val="Arial"/>
        <family val="2"/>
      </rPr>
      <t>) =</t>
    </r>
  </si>
  <si>
    <t>P(15&lt;X&lt;27) =P(</t>
  </si>
  <si>
    <t>Y = {tempo di attesa medio di 5 clienti}</t>
  </si>
  <si>
    <t>P(Y&gt;25) =P(Z &gt;</t>
  </si>
  <si>
    <t>Indichiamo con Q la v.a. binomiale che conta il numero di clienti che aspettano più di 30 minuti, sui 5 considerati</t>
  </si>
  <si>
    <t>P(Q&lt;=1) = [P(Q=0) + P(Q=1)] =</t>
  </si>
  <si>
    <t>P(A) =</t>
  </si>
  <si>
    <t>P(B) =</t>
  </si>
  <si>
    <t>P(D|A) =</t>
  </si>
  <si>
    <t>P(D|B) =</t>
  </si>
  <si>
    <t>P(D) =</t>
  </si>
  <si>
    <t>P(A|D) =</t>
  </si>
  <si>
    <t>X è una binomiale di parametri</t>
  </si>
  <si>
    <t>Un lavoratore utilizza il tram oppure l'autobus per recarsi al lavoro.</t>
  </si>
  <si>
    <t>La probabilità di arrivare in ritardo è di 0,04 se prende il tram, e di 0,06 se prende l'autobus.</t>
  </si>
  <si>
    <t>a) Calcolare con che probabilità il lavoratore arriva in ritardo.</t>
  </si>
  <si>
    <t>b) Calcolare la probabilità che essendo arrivato in ritardo, abbia preso l'autobus.</t>
  </si>
  <si>
    <t>c) Calcolare la probabilità che su 10 giorni, vada con l'autobus almeno 3 volte.</t>
  </si>
  <si>
    <t>d) Calcolare il numero medio di giorni in ritardo nell'anno (250 giorni lavorativi).</t>
  </si>
  <si>
    <t xml:space="preserve">Utilizza il tram nel 65% dei giorni lavorativi e l'autobus nei restanti giorni. </t>
  </si>
  <si>
    <t>P(X&gt;2) =</t>
  </si>
  <si>
    <t>Trattandosi di una variabile binomiale, la sua media è</t>
  </si>
  <si>
    <t>a) Si trovi l'intervallo di confidenza per il peso medio degli imballaggi prodotti dallo stabilimento, a livello</t>
  </si>
  <si>
    <t>b) Di quanto deve aumentare la numerosità campionaria n se si vuole che l'ampiezza dell'intervallo</t>
  </si>
  <si>
    <t>d) Cosa rappresenta la potenza di un test nella verifica di ipotesi e come è collegata al livello alfa?</t>
  </si>
  <si>
    <t>grammi</t>
  </si>
  <si>
    <t>Ampiezza intervallo =</t>
  </si>
  <si>
    <t>Ampiezza desiderata =</t>
  </si>
  <si>
    <r>
      <t>2z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*</t>
    </r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>/radq(n) =</t>
    </r>
  </si>
  <si>
    <r>
      <t xml:space="preserve">H0: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=</t>
    </r>
  </si>
  <si>
    <r>
      <t>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</si>
  <si>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La potenza di un test rappresenta la sua capacità di individuare un'ipotesi nulla falsa. Ossia è la probabilità di rifiutare l'ipotesi nulla quando questa è falsa. Al crescere di alfa, il livello del test, la potenza aumenta.</t>
  </si>
  <si>
    <t>Dal campione risulta che il peso medio di un imballaggio sia pari a 15 grammi. Si sa inoltre che il processo produttivo</t>
  </si>
  <si>
    <t>ha uno scarto quadratico medio di 1,5 grammi.</t>
  </si>
  <si>
    <t>di confidenza del 99%.</t>
  </si>
  <si>
    <t>sia pari a 0,5?</t>
  </si>
  <si>
    <r>
      <t xml:space="preserve">H1: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&lt;</t>
    </r>
  </si>
  <si>
    <t>c) Si verifichi l'ipotesi che il peso medio degli imballaggi prodotte sia pari a 16 grammi, contro l'alternativa che sia minore al livello del 5%</t>
  </si>
  <si>
    <t>In uno stabilimento che produce un unico tipo di imballaggi, viene prelevato un campione di 50 imballaggi.</t>
  </si>
  <si>
    <t xml:space="preserve">Si rifiuta H0, il peso medio è minore di 16 grammi. </t>
  </si>
  <si>
    <t xml:space="preserve">A tal fine si estrae un campione di 400 individui. Di questi, 15 passeranno il Natale in montagna. </t>
  </si>
  <si>
    <r>
      <t xml:space="preserve">Si vuole stimare la proporzione </t>
    </r>
    <r>
      <rPr>
        <b/>
        <sz val="10"/>
        <color indexed="10"/>
        <rFont val="Symbol"/>
        <family val="1"/>
        <charset val="2"/>
      </rPr>
      <t>p</t>
    </r>
    <r>
      <rPr>
        <b/>
        <sz val="10"/>
        <color indexed="10"/>
        <rFont val="Arial"/>
        <family val="2"/>
      </rPr>
      <t xml:space="preserve"> di italiani che partirà in montagna per le vacanze di Natale.</t>
    </r>
  </si>
  <si>
    <t>a) si determini un intervallo di confidenza al 95% per la proporzione di italiani che si recherà in montagna.</t>
  </si>
  <si>
    <t xml:space="preserve">b) sulla base del punto a) e senza ulteriori calcoli, possiamo rifiutare (al livello dell'1%) l'ipotesi nulla che la percentuale di italiani che si recherà in montagna sia pari al 5%, </t>
  </si>
  <si>
    <t>b) Il valore 0,05 è contenuto all'interno del precedente intervallo e sarà a maggior ragione contenuto in un intervallo più ampio, al livello del 99%. Non possiamo rifiutare l'ipotesi nulla.</t>
  </si>
  <si>
    <t>c) si verifichi l'ipotesi nulla che la proporzione di italiani che partirà in montagna sia pari a 0,06 contro l'alternativa che sia minore, al livello di significatività del 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</si>
</sst>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0.000"/>
  </numFmts>
  <fonts count="16" x14ac:knownFonts="1">
    <font>
      <sz val="10"/>
      <name val="Arial"/>
    </font>
    <font>
      <b/>
      <sz val="12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10"/>
      <color indexed="8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vertAlign val="subscript"/>
      <sz val="10"/>
      <name val="Symbol"/>
      <family val="1"/>
      <charset val="2"/>
    </font>
    <font>
      <b/>
      <sz val="10"/>
      <color indexed="10"/>
      <name val="Symbol"/>
      <family val="1"/>
      <charset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color indexed="8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0" fillId="0" borderId="0" xfId="0" applyBorder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0" fillId="0" borderId="0" xfId="0" quotePrefix="1"/>
    <xf numFmtId="0" fontId="5" fillId="0" borderId="0" xfId="0" applyFont="1" applyBorder="1"/>
    <xf numFmtId="0" fontId="3" fillId="0" borderId="0" xfId="0" applyFont="1" applyBorder="1"/>
    <xf numFmtId="164" fontId="0" fillId="0" borderId="0" xfId="0" applyNumberFormat="1"/>
    <xf numFmtId="0" fontId="7" fillId="0" borderId="0" xfId="0" applyFont="1"/>
    <xf numFmtId="0" fontId="1" fillId="0" borderId="0" xfId="0" quotePrefix="1" applyFont="1"/>
    <xf numFmtId="0" fontId="1" fillId="0" borderId="0" xfId="0" applyFont="1" applyAlignment="1">
      <alignment horizontal="left" wrapText="1"/>
    </xf>
    <xf numFmtId="0" fontId="5" fillId="0" borderId="0" xfId="0" quotePrefix="1" applyFont="1"/>
    <xf numFmtId="0" fontId="5" fillId="0" borderId="0" xfId="0" applyFont="1" applyAlignment="1">
      <alignment horizontal="left"/>
    </xf>
    <xf numFmtId="0" fontId="3" fillId="0" borderId="0" xfId="0" quotePrefix="1" applyFont="1" applyBorder="1"/>
    <xf numFmtId="0" fontId="7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Fill="1" applyBorder="1"/>
    <xf numFmtId="165" fontId="5" fillId="0" borderId="0" xfId="0" applyNumberFormat="1" applyFont="1" applyBorder="1"/>
    <xf numFmtId="0" fontId="8" fillId="0" borderId="0" xfId="0" applyFont="1" applyBorder="1"/>
    <xf numFmtId="0" fontId="5" fillId="0" borderId="0" xfId="0" applyFont="1" applyFill="1" applyBorder="1" applyAlignment="1">
      <alignment horizontal="left"/>
    </xf>
    <xf numFmtId="0" fontId="5" fillId="0" borderId="0" xfId="0" quotePrefix="1" applyFont="1" applyAlignment="1">
      <alignment horizontal="center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/>
    <xf numFmtId="0" fontId="5" fillId="0" borderId="0" xfId="0" quotePrefix="1" applyFont="1" applyBorder="1"/>
    <xf numFmtId="0" fontId="12" fillId="0" borderId="0" xfId="0" applyFont="1" applyBorder="1"/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3" fillId="0" borderId="0" xfId="0" quotePrefix="1" applyFont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 wrapText="1"/>
    </xf>
    <xf numFmtId="0" fontId="0" fillId="0" borderId="0" xfId="0" applyFill="1" applyBorder="1"/>
    <xf numFmtId="0" fontId="3" fillId="0" borderId="0" xfId="0" applyFont="1" applyFill="1" applyBorder="1"/>
    <xf numFmtId="164" fontId="0" fillId="0" borderId="0" xfId="0" applyNumberFormat="1" applyBorder="1"/>
    <xf numFmtId="0" fontId="0" fillId="0" borderId="0" xfId="0" applyFont="1" applyFill="1" applyBorder="1" applyAlignment="1"/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top" wrapText="1"/>
    </xf>
    <xf numFmtId="166" fontId="0" fillId="0" borderId="0" xfId="0" applyNumberFormat="1" applyBorder="1"/>
    <xf numFmtId="0" fontId="5" fillId="0" borderId="0" xfId="0" applyFont="1" applyFill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textRotation="90"/>
    </xf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/>
    <xf numFmtId="3" fontId="0" fillId="0" borderId="0" xfId="0" applyNumberFormat="1" applyBorder="1"/>
    <xf numFmtId="0" fontId="0" fillId="0" borderId="0" xfId="0" applyFont="1" applyFill="1" applyBorder="1"/>
    <xf numFmtId="2" fontId="5" fillId="0" borderId="0" xfId="0" applyNumberFormat="1" applyFont="1" applyBorder="1"/>
    <xf numFmtId="0" fontId="14" fillId="0" borderId="0" xfId="0" applyFont="1" applyBorder="1"/>
    <xf numFmtId="0" fontId="3" fillId="0" borderId="0" xfId="0" applyNumberFormat="1" applyFont="1"/>
    <xf numFmtId="0" fontId="3" fillId="0" borderId="0" xfId="0" applyNumberFormat="1" applyFont="1" applyAlignment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9" fontId="0" fillId="0" borderId="0" xfId="0" applyNumberFormat="1"/>
    <xf numFmtId="0" fontId="7" fillId="0" borderId="0" xfId="0" applyFont="1" applyFill="1" applyBorder="1"/>
    <xf numFmtId="0" fontId="0" fillId="0" borderId="0" xfId="0" quotePrefix="1" applyBorder="1"/>
    <xf numFmtId="0" fontId="15" fillId="0" borderId="0" xfId="0" applyFont="1" applyFill="1" applyBorder="1"/>
    <xf numFmtId="0" fontId="6" fillId="0" borderId="0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delle vendite in funzione dello sconto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Foglio1!$B$5:$F$5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Foglio1!$B$4:$F$4</c:f>
              <c:numCache>
                <c:formatCode>General</c:formatCode>
                <c:ptCount val="5"/>
                <c:pt idx="0">
                  <c:v>157</c:v>
                </c:pt>
                <c:pt idx="1">
                  <c:v>135</c:v>
                </c:pt>
                <c:pt idx="2">
                  <c:v>168</c:v>
                </c:pt>
                <c:pt idx="3">
                  <c:v>179</c:v>
                </c:pt>
                <c:pt idx="4">
                  <c:v>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73-428B-AE62-8295BDC6B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45259024"/>
        <c:axId val="-1345250864"/>
      </c:scatterChart>
      <c:valAx>
        <c:axId val="-1345259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Sconto (in % sul prezzo d'acquisto)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1345250864"/>
        <c:crosses val="autoZero"/>
        <c:crossBetween val="midCat"/>
      </c:valAx>
      <c:valAx>
        <c:axId val="-134525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Quantità venduta (numero di pezzi)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134525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1743075</xdr:colOff>
      <xdr:row>5</xdr:row>
      <xdr:rowOff>111125</xdr:rowOff>
    </xdr:from>
    <xdr:to>
      <xdr:col>6</xdr:col>
      <xdr:colOff>295275</xdr:colOff>
      <xdr:row>22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topLeftCell="A28" zoomScale="150" zoomScaleNormal="150" workbookViewId="0">
      <selection activeCell="A42" sqref="A42:B43"/>
    </sheetView>
  </sheetViews>
  <sheetFormatPr defaultRowHeight="12.3" x14ac:dyDescent="0.4"/>
  <cols>
    <col min="1" max="1" width="36.5546875" customWidth="1"/>
    <col min="2" max="2" width="8" customWidth="1"/>
    <col min="4" max="4" width="11.6640625" customWidth="1"/>
    <col min="5" max="5" width="15.6640625" customWidth="1"/>
    <col min="7" max="7" width="12.5546875" customWidth="1"/>
  </cols>
  <sheetData>
    <row r="1" spans="1:12" x14ac:dyDescent="0.4">
      <c r="A1" s="3" t="s">
        <v>37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</row>
    <row r="2" spans="1:12" x14ac:dyDescent="0.4">
      <c r="A2" s="3" t="s">
        <v>29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2" x14ac:dyDescent="0.4">
      <c r="A3" s="3"/>
      <c r="B3" s="3"/>
      <c r="C3" s="3"/>
      <c r="D3" s="3"/>
      <c r="E3" s="4"/>
      <c r="F3" s="4"/>
      <c r="G3" s="4"/>
      <c r="H3" s="4"/>
      <c r="I3" s="4"/>
      <c r="J3" s="4"/>
      <c r="K3" s="4"/>
      <c r="L3" s="4"/>
    </row>
    <row r="4" spans="1:12" x14ac:dyDescent="0.4">
      <c r="A4" s="3" t="s">
        <v>31</v>
      </c>
      <c r="B4" s="29">
        <v>157</v>
      </c>
      <c r="C4" s="29">
        <v>135</v>
      </c>
      <c r="D4" s="29">
        <v>168</v>
      </c>
      <c r="E4" s="29">
        <v>179</v>
      </c>
      <c r="F4" s="30">
        <v>221</v>
      </c>
      <c r="G4" s="30"/>
      <c r="H4" s="30"/>
      <c r="I4" s="30"/>
      <c r="J4" s="30"/>
      <c r="K4" s="31"/>
      <c r="L4" s="4">
        <f>SUM(B4:K4)</f>
        <v>860</v>
      </c>
    </row>
    <row r="5" spans="1:12" x14ac:dyDescent="0.4">
      <c r="A5" s="3" t="s">
        <v>38</v>
      </c>
      <c r="B5" s="32">
        <v>4</v>
      </c>
      <c r="C5" s="29">
        <v>1</v>
      </c>
      <c r="D5" s="29">
        <v>2</v>
      </c>
      <c r="E5" s="29">
        <v>4</v>
      </c>
      <c r="F5" s="30">
        <v>5</v>
      </c>
      <c r="G5" s="30"/>
      <c r="H5" s="30"/>
      <c r="I5" s="31"/>
      <c r="J5" s="31"/>
      <c r="K5" s="31"/>
      <c r="L5" s="4">
        <f>SUM(B5:K5)</f>
        <v>16</v>
      </c>
    </row>
    <row r="6" spans="1:12" ht="15" x14ac:dyDescent="0.5">
      <c r="A6" s="33"/>
      <c r="B6" s="13"/>
      <c r="C6" s="14"/>
      <c r="D6" s="1"/>
      <c r="E6" s="1"/>
      <c r="F6" s="4"/>
      <c r="G6" s="4"/>
      <c r="H6" s="4"/>
      <c r="I6" s="4"/>
      <c r="J6" s="4"/>
      <c r="K6" s="4"/>
      <c r="L6" s="4"/>
    </row>
    <row r="7" spans="1:12" x14ac:dyDescent="0.4">
      <c r="A7" s="34" t="s">
        <v>30</v>
      </c>
      <c r="B7" s="35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4">
      <c r="A8" s="10" t="s">
        <v>39</v>
      </c>
      <c r="B8" s="4"/>
      <c r="C8" s="36"/>
      <c r="D8" s="36"/>
      <c r="E8" s="36"/>
      <c r="F8" s="36"/>
      <c r="G8" s="4"/>
      <c r="H8" s="4"/>
      <c r="I8" s="4"/>
      <c r="J8" s="4"/>
      <c r="K8" s="4"/>
      <c r="L8" s="4"/>
    </row>
    <row r="9" spans="1:12" x14ac:dyDescent="0.4">
      <c r="A9" s="10" t="s">
        <v>19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4">
      <c r="A10" s="37" t="s">
        <v>40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4">
      <c r="A26" s="20" t="s">
        <v>20</v>
      </c>
      <c r="B26" s="15">
        <f>AVERAGE(B4:H4)</f>
        <v>172</v>
      </c>
      <c r="C26" s="16"/>
      <c r="D26" s="6"/>
      <c r="E26" s="38"/>
      <c r="F26" s="6"/>
      <c r="G26" s="38"/>
      <c r="H26" s="4"/>
      <c r="I26" s="4"/>
      <c r="J26" s="4"/>
      <c r="K26" s="4"/>
      <c r="L26" s="4"/>
    </row>
    <row r="27" spans="1:12" x14ac:dyDescent="0.4">
      <c r="A27" s="20" t="s">
        <v>5</v>
      </c>
      <c r="B27" s="15">
        <f>AVERAGE(B5:K5)</f>
        <v>3.2</v>
      </c>
      <c r="C27" s="16"/>
      <c r="D27" s="6"/>
      <c r="E27" s="38"/>
      <c r="F27" s="6"/>
      <c r="G27" s="38"/>
      <c r="H27" s="4"/>
      <c r="I27" s="4"/>
      <c r="J27" s="4"/>
      <c r="K27" s="4"/>
      <c r="L27" s="4"/>
    </row>
    <row r="28" spans="1:12" x14ac:dyDescent="0.4">
      <c r="A28" s="43" t="s">
        <v>22</v>
      </c>
      <c r="B28" s="15">
        <f t="shared" ref="B28:F29" si="0">B4-$B26</f>
        <v>-15</v>
      </c>
      <c r="C28" s="15">
        <f t="shared" si="0"/>
        <v>-37</v>
      </c>
      <c r="D28" s="15">
        <f t="shared" si="0"/>
        <v>-4</v>
      </c>
      <c r="E28" s="15">
        <f t="shared" si="0"/>
        <v>7</v>
      </c>
      <c r="F28" s="15">
        <f t="shared" si="0"/>
        <v>49</v>
      </c>
      <c r="G28" s="9">
        <f>SUM(B28:F28)</f>
        <v>0</v>
      </c>
      <c r="H28" s="15"/>
      <c r="I28" s="15"/>
      <c r="K28" s="15"/>
    </row>
    <row r="29" spans="1:12" x14ac:dyDescent="0.4">
      <c r="A29" s="43" t="s">
        <v>21</v>
      </c>
      <c r="B29" s="15">
        <f t="shared" si="0"/>
        <v>0.79999999999999982</v>
      </c>
      <c r="C29" s="15">
        <f t="shared" si="0"/>
        <v>-2.2000000000000002</v>
      </c>
      <c r="D29" s="15">
        <f t="shared" si="0"/>
        <v>-1.2000000000000002</v>
      </c>
      <c r="E29" s="15">
        <f t="shared" si="0"/>
        <v>0.79999999999999982</v>
      </c>
      <c r="F29" s="15">
        <f t="shared" si="0"/>
        <v>1.7999999999999998</v>
      </c>
      <c r="G29" s="9">
        <f t="shared" ref="G29:G32" si="1">SUM(B29:F29)</f>
        <v>0</v>
      </c>
      <c r="H29" s="15"/>
      <c r="I29" s="15"/>
      <c r="K29" s="15"/>
    </row>
    <row r="30" spans="1:12" x14ac:dyDescent="0.4">
      <c r="A30" s="39" t="s">
        <v>23</v>
      </c>
      <c r="B30" s="15">
        <f>B28*B29</f>
        <v>-11.999999999999996</v>
      </c>
      <c r="C30" s="15">
        <f t="shared" ref="C30:F30" si="2">C28*C29</f>
        <v>81.400000000000006</v>
      </c>
      <c r="D30" s="15">
        <f t="shared" si="2"/>
        <v>4.8000000000000007</v>
      </c>
      <c r="E30" s="15">
        <f t="shared" si="2"/>
        <v>5.5999999999999988</v>
      </c>
      <c r="F30" s="15">
        <f t="shared" si="2"/>
        <v>88.199999999999989</v>
      </c>
      <c r="G30" s="9">
        <f t="shared" si="1"/>
        <v>168</v>
      </c>
      <c r="H30" s="15"/>
      <c r="I30" s="15"/>
      <c r="K30" s="15"/>
    </row>
    <row r="31" spans="1:12" x14ac:dyDescent="0.4">
      <c r="A31" s="43" t="s">
        <v>25</v>
      </c>
      <c r="B31" s="15">
        <f>B28^2</f>
        <v>225</v>
      </c>
      <c r="C31" s="15">
        <f t="shared" ref="C31:F32" si="3">C28^2</f>
        <v>1369</v>
      </c>
      <c r="D31" s="15">
        <f t="shared" si="3"/>
        <v>16</v>
      </c>
      <c r="E31" s="15">
        <f t="shared" si="3"/>
        <v>49</v>
      </c>
      <c r="F31" s="15">
        <f t="shared" si="3"/>
        <v>2401</v>
      </c>
      <c r="G31" s="9">
        <f t="shared" si="1"/>
        <v>4060</v>
      </c>
      <c r="H31" s="15"/>
      <c r="I31" s="15"/>
      <c r="K31" s="15"/>
    </row>
    <row r="32" spans="1:12" x14ac:dyDescent="0.4">
      <c r="A32" s="40" t="s">
        <v>24</v>
      </c>
      <c r="B32" s="15">
        <f>B29^2</f>
        <v>0.63999999999999968</v>
      </c>
      <c r="C32" s="15">
        <f t="shared" si="3"/>
        <v>4.8400000000000007</v>
      </c>
      <c r="D32" s="15">
        <f t="shared" si="3"/>
        <v>1.4400000000000004</v>
      </c>
      <c r="E32" s="15">
        <f t="shared" si="3"/>
        <v>0.63999999999999968</v>
      </c>
      <c r="F32" s="15">
        <f t="shared" si="3"/>
        <v>3.2399999999999993</v>
      </c>
      <c r="G32" s="9">
        <f t="shared" si="1"/>
        <v>10.8</v>
      </c>
      <c r="H32" s="15"/>
      <c r="I32" s="15"/>
      <c r="K32" s="15"/>
    </row>
    <row r="33" spans="1:12" x14ac:dyDescent="0.4">
      <c r="A33" s="41"/>
      <c r="B33" s="15"/>
      <c r="C33" s="23"/>
      <c r="D33" s="20"/>
      <c r="E33" s="38"/>
      <c r="F33" s="20"/>
      <c r="G33" s="38"/>
      <c r="H33" s="4"/>
      <c r="I33" s="4"/>
      <c r="J33" s="4"/>
      <c r="K33" s="4"/>
      <c r="L33" s="4"/>
    </row>
    <row r="34" spans="1:12" x14ac:dyDescent="0.4">
      <c r="A34" s="39" t="s">
        <v>26</v>
      </c>
      <c r="B34" s="4">
        <f>B26-B35*B27</f>
        <v>122.22222222222223</v>
      </c>
      <c r="C34" s="4"/>
      <c r="D34" s="9"/>
      <c r="E34" s="4"/>
      <c r="F34" s="4"/>
      <c r="G34" s="4"/>
      <c r="H34" s="4"/>
      <c r="I34" s="4"/>
      <c r="J34" s="4"/>
      <c r="K34" s="4"/>
      <c r="L34" s="4"/>
    </row>
    <row r="35" spans="1:12" x14ac:dyDescent="0.4">
      <c r="A35" s="39" t="s">
        <v>27</v>
      </c>
      <c r="B35" s="4">
        <f>G30/G32</f>
        <v>15.555555555555555</v>
      </c>
      <c r="C35" s="4"/>
      <c r="D35" s="9" t="s">
        <v>41</v>
      </c>
      <c r="E35" s="4"/>
      <c r="F35" s="4"/>
      <c r="G35" s="4"/>
      <c r="H35" s="4"/>
      <c r="I35" s="4"/>
      <c r="J35" s="4"/>
      <c r="K35" s="4"/>
      <c r="L35" s="4"/>
    </row>
    <row r="36" spans="1:12" x14ac:dyDescent="0.4">
      <c r="A36" s="4"/>
      <c r="B36" s="4"/>
      <c r="C36" s="4"/>
      <c r="D36" s="4"/>
      <c r="E36" s="6"/>
      <c r="F36" s="24"/>
      <c r="G36" s="16"/>
      <c r="H36" s="4"/>
      <c r="I36" s="4"/>
      <c r="J36" s="4"/>
      <c r="K36" s="4"/>
      <c r="L36" s="4"/>
    </row>
    <row r="37" spans="1:12" x14ac:dyDescent="0.4">
      <c r="A37" s="36" t="s">
        <v>28</v>
      </c>
      <c r="B37" s="4">
        <f>G30^2/G31/G32</f>
        <v>0.64367816091954011</v>
      </c>
      <c r="C37" s="4"/>
      <c r="D37" s="9" t="s">
        <v>42</v>
      </c>
      <c r="E37" s="4"/>
      <c r="F37" s="4"/>
      <c r="G37" s="4"/>
      <c r="H37" s="4"/>
      <c r="I37" s="4"/>
      <c r="J37" s="4"/>
      <c r="K37" s="4"/>
      <c r="L37" s="4"/>
    </row>
    <row r="38" spans="1:12" x14ac:dyDescent="0.4">
      <c r="A38" s="4"/>
      <c r="B38" s="4"/>
      <c r="C38" s="4"/>
      <c r="D38" s="4"/>
      <c r="E38" s="42"/>
      <c r="F38" s="4"/>
      <c r="G38" s="4"/>
      <c r="H38" s="4"/>
      <c r="I38" s="4"/>
      <c r="J38" s="4"/>
      <c r="K38" s="4"/>
      <c r="L38" s="4"/>
    </row>
    <row r="39" spans="1:12" x14ac:dyDescent="0.4">
      <c r="A39" s="20" t="s">
        <v>43</v>
      </c>
      <c r="B39" s="4"/>
      <c r="C39" s="4"/>
      <c r="D39" s="4"/>
      <c r="E39" s="4">
        <f>B34+B35*3</f>
        <v>168.88888888888889</v>
      </c>
      <c r="F39" s="9" t="s">
        <v>32</v>
      </c>
      <c r="G39" s="4"/>
      <c r="H39" s="4"/>
      <c r="I39" s="4"/>
      <c r="J39" s="4"/>
      <c r="K39" s="4"/>
      <c r="L39" s="4"/>
    </row>
    <row r="40" spans="1:12" x14ac:dyDescent="0.4">
      <c r="A40" s="4"/>
      <c r="B40" s="4"/>
      <c r="C40" s="4"/>
      <c r="D40" s="4"/>
      <c r="E40" s="6"/>
      <c r="F40" s="24"/>
      <c r="G40" s="16"/>
      <c r="H40" s="4"/>
      <c r="I40" s="4"/>
      <c r="J40" s="4"/>
      <c r="K40" s="4"/>
      <c r="L40" s="4"/>
    </row>
    <row r="41" spans="1:12" x14ac:dyDescent="0.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4">
      <c r="A42" s="4"/>
      <c r="B42" s="4"/>
      <c r="C42" s="4"/>
      <c r="D42" s="4"/>
      <c r="E42" s="42"/>
      <c r="F42" s="4"/>
      <c r="G42" s="4"/>
      <c r="H42" s="4"/>
      <c r="I42" s="4"/>
      <c r="J42" s="4"/>
      <c r="K42" s="4"/>
      <c r="L42" s="4"/>
    </row>
    <row r="43" spans="1:12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4">
      <c r="A47" s="4"/>
      <c r="B47" s="4"/>
      <c r="C47" s="4"/>
      <c r="D47" s="4"/>
      <c r="E47" s="6"/>
      <c r="F47" s="24"/>
      <c r="G47" s="16"/>
      <c r="H47" s="4"/>
      <c r="I47" s="4"/>
      <c r="J47" s="4"/>
      <c r="K47" s="4"/>
      <c r="L47" s="4"/>
    </row>
    <row r="48" spans="1:12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4">
      <c r="A49" s="4"/>
      <c r="B49" s="4"/>
      <c r="C49" s="4"/>
      <c r="D49" s="4"/>
      <c r="E49" s="42"/>
      <c r="F49" s="4"/>
      <c r="G49" s="4"/>
      <c r="H49" s="4"/>
      <c r="I49" s="4"/>
      <c r="J49" s="4"/>
      <c r="K49" s="4"/>
      <c r="L49" s="4"/>
    </row>
    <row r="50" spans="1:12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4">
      <c r="A51" s="4"/>
      <c r="B51" s="4"/>
      <c r="C51" s="4"/>
      <c r="D51" s="4"/>
      <c r="E51" s="6"/>
      <c r="F51" s="24"/>
      <c r="G51" s="16"/>
      <c r="H51" s="4"/>
      <c r="I51" s="4"/>
      <c r="J51" s="4"/>
      <c r="K51" s="4"/>
      <c r="L51" s="4"/>
    </row>
    <row r="52" spans="1:12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</sheetData>
  <phoneticPr fontId="2" type="noConversion"/>
  <pageMargins left="0.75" right="0.75" top="1" bottom="1" header="0.5" footer="0.5"/>
  <pageSetup paperSize="9" scale="81" orientation="portrait" r:id="rId1"/>
  <headerFooter alignWithMargins="0"/>
  <colBreaks count="1" manualBreakCount="1">
    <brk id="12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topLeftCell="A15" zoomScale="150" zoomScaleNormal="150" workbookViewId="0">
      <selection activeCell="A32" sqref="A32"/>
    </sheetView>
  </sheetViews>
  <sheetFormatPr defaultColWidth="9.109375" defaultRowHeight="12.3" x14ac:dyDescent="0.4"/>
  <cols>
    <col min="1" max="1" width="17.88671875" style="4" customWidth="1"/>
    <col min="2" max="8" width="9.109375" style="4"/>
    <col min="9" max="9" width="12.6640625" style="4" bestFit="1" customWidth="1"/>
    <col min="10" max="256" width="9.109375" style="4"/>
    <col min="257" max="257" width="17.88671875" style="4" customWidth="1"/>
    <col min="258" max="264" width="9.109375" style="4"/>
    <col min="265" max="265" width="12.6640625" style="4" bestFit="1" customWidth="1"/>
    <col min="266" max="512" width="9.109375" style="4"/>
    <col min="513" max="513" width="17.88671875" style="4" customWidth="1"/>
    <col min="514" max="520" width="9.109375" style="4"/>
    <col min="521" max="521" width="12.6640625" style="4" bestFit="1" customWidth="1"/>
    <col min="522" max="768" width="9.109375" style="4"/>
    <col min="769" max="769" width="17.88671875" style="4" customWidth="1"/>
    <col min="770" max="776" width="9.109375" style="4"/>
    <col min="777" max="777" width="12.6640625" style="4" bestFit="1" customWidth="1"/>
    <col min="778" max="1024" width="9.109375" style="4"/>
    <col min="1025" max="1025" width="17.88671875" style="4" customWidth="1"/>
    <col min="1026" max="1032" width="9.109375" style="4"/>
    <col min="1033" max="1033" width="12.6640625" style="4" bestFit="1" customWidth="1"/>
    <col min="1034" max="1280" width="9.109375" style="4"/>
    <col min="1281" max="1281" width="17.88671875" style="4" customWidth="1"/>
    <col min="1282" max="1288" width="9.109375" style="4"/>
    <col min="1289" max="1289" width="12.6640625" style="4" bestFit="1" customWidth="1"/>
    <col min="1290" max="1536" width="9.109375" style="4"/>
    <col min="1537" max="1537" width="17.88671875" style="4" customWidth="1"/>
    <col min="1538" max="1544" width="9.109375" style="4"/>
    <col min="1545" max="1545" width="12.6640625" style="4" bestFit="1" customWidth="1"/>
    <col min="1546" max="1792" width="9.109375" style="4"/>
    <col min="1793" max="1793" width="17.88671875" style="4" customWidth="1"/>
    <col min="1794" max="1800" width="9.109375" style="4"/>
    <col min="1801" max="1801" width="12.6640625" style="4" bestFit="1" customWidth="1"/>
    <col min="1802" max="2048" width="9.109375" style="4"/>
    <col min="2049" max="2049" width="17.88671875" style="4" customWidth="1"/>
    <col min="2050" max="2056" width="9.109375" style="4"/>
    <col min="2057" max="2057" width="12.6640625" style="4" bestFit="1" customWidth="1"/>
    <col min="2058" max="2304" width="9.109375" style="4"/>
    <col min="2305" max="2305" width="17.88671875" style="4" customWidth="1"/>
    <col min="2306" max="2312" width="9.109375" style="4"/>
    <col min="2313" max="2313" width="12.6640625" style="4" bestFit="1" customWidth="1"/>
    <col min="2314" max="2560" width="9.109375" style="4"/>
    <col min="2561" max="2561" width="17.88671875" style="4" customWidth="1"/>
    <col min="2562" max="2568" width="9.109375" style="4"/>
    <col min="2569" max="2569" width="12.6640625" style="4" bestFit="1" customWidth="1"/>
    <col min="2570" max="2816" width="9.109375" style="4"/>
    <col min="2817" max="2817" width="17.88671875" style="4" customWidth="1"/>
    <col min="2818" max="2824" width="9.109375" style="4"/>
    <col min="2825" max="2825" width="12.6640625" style="4" bestFit="1" customWidth="1"/>
    <col min="2826" max="3072" width="9.109375" style="4"/>
    <col min="3073" max="3073" width="17.88671875" style="4" customWidth="1"/>
    <col min="3074" max="3080" width="9.109375" style="4"/>
    <col min="3081" max="3081" width="12.6640625" style="4" bestFit="1" customWidth="1"/>
    <col min="3082" max="3328" width="9.109375" style="4"/>
    <col min="3329" max="3329" width="17.88671875" style="4" customWidth="1"/>
    <col min="3330" max="3336" width="9.109375" style="4"/>
    <col min="3337" max="3337" width="12.6640625" style="4" bestFit="1" customWidth="1"/>
    <col min="3338" max="3584" width="9.109375" style="4"/>
    <col min="3585" max="3585" width="17.88671875" style="4" customWidth="1"/>
    <col min="3586" max="3592" width="9.109375" style="4"/>
    <col min="3593" max="3593" width="12.6640625" style="4" bestFit="1" customWidth="1"/>
    <col min="3594" max="3840" width="9.109375" style="4"/>
    <col min="3841" max="3841" width="17.88671875" style="4" customWidth="1"/>
    <col min="3842" max="3848" width="9.109375" style="4"/>
    <col min="3849" max="3849" width="12.6640625" style="4" bestFit="1" customWidth="1"/>
    <col min="3850" max="4096" width="9.109375" style="4"/>
    <col min="4097" max="4097" width="17.88671875" style="4" customWidth="1"/>
    <col min="4098" max="4104" width="9.109375" style="4"/>
    <col min="4105" max="4105" width="12.6640625" style="4" bestFit="1" customWidth="1"/>
    <col min="4106" max="4352" width="9.109375" style="4"/>
    <col min="4353" max="4353" width="17.88671875" style="4" customWidth="1"/>
    <col min="4354" max="4360" width="9.109375" style="4"/>
    <col min="4361" max="4361" width="12.6640625" style="4" bestFit="1" customWidth="1"/>
    <col min="4362" max="4608" width="9.109375" style="4"/>
    <col min="4609" max="4609" width="17.88671875" style="4" customWidth="1"/>
    <col min="4610" max="4616" width="9.109375" style="4"/>
    <col min="4617" max="4617" width="12.6640625" style="4" bestFit="1" customWidth="1"/>
    <col min="4618" max="4864" width="9.109375" style="4"/>
    <col min="4865" max="4865" width="17.88671875" style="4" customWidth="1"/>
    <col min="4866" max="4872" width="9.109375" style="4"/>
    <col min="4873" max="4873" width="12.6640625" style="4" bestFit="1" customWidth="1"/>
    <col min="4874" max="5120" width="9.109375" style="4"/>
    <col min="5121" max="5121" width="17.88671875" style="4" customWidth="1"/>
    <col min="5122" max="5128" width="9.109375" style="4"/>
    <col min="5129" max="5129" width="12.6640625" style="4" bestFit="1" customWidth="1"/>
    <col min="5130" max="5376" width="9.109375" style="4"/>
    <col min="5377" max="5377" width="17.88671875" style="4" customWidth="1"/>
    <col min="5378" max="5384" width="9.109375" style="4"/>
    <col min="5385" max="5385" width="12.6640625" style="4" bestFit="1" customWidth="1"/>
    <col min="5386" max="5632" width="9.109375" style="4"/>
    <col min="5633" max="5633" width="17.88671875" style="4" customWidth="1"/>
    <col min="5634" max="5640" width="9.109375" style="4"/>
    <col min="5641" max="5641" width="12.6640625" style="4" bestFit="1" customWidth="1"/>
    <col min="5642" max="5888" width="9.109375" style="4"/>
    <col min="5889" max="5889" width="17.88671875" style="4" customWidth="1"/>
    <col min="5890" max="5896" width="9.109375" style="4"/>
    <col min="5897" max="5897" width="12.6640625" style="4" bestFit="1" customWidth="1"/>
    <col min="5898" max="6144" width="9.109375" style="4"/>
    <col min="6145" max="6145" width="17.88671875" style="4" customWidth="1"/>
    <col min="6146" max="6152" width="9.109375" style="4"/>
    <col min="6153" max="6153" width="12.6640625" style="4" bestFit="1" customWidth="1"/>
    <col min="6154" max="6400" width="9.109375" style="4"/>
    <col min="6401" max="6401" width="17.88671875" style="4" customWidth="1"/>
    <col min="6402" max="6408" width="9.109375" style="4"/>
    <col min="6409" max="6409" width="12.6640625" style="4" bestFit="1" customWidth="1"/>
    <col min="6410" max="6656" width="9.109375" style="4"/>
    <col min="6657" max="6657" width="17.88671875" style="4" customWidth="1"/>
    <col min="6658" max="6664" width="9.109375" style="4"/>
    <col min="6665" max="6665" width="12.6640625" style="4" bestFit="1" customWidth="1"/>
    <col min="6666" max="6912" width="9.109375" style="4"/>
    <col min="6913" max="6913" width="17.88671875" style="4" customWidth="1"/>
    <col min="6914" max="6920" width="9.109375" style="4"/>
    <col min="6921" max="6921" width="12.6640625" style="4" bestFit="1" customWidth="1"/>
    <col min="6922" max="7168" width="9.109375" style="4"/>
    <col min="7169" max="7169" width="17.88671875" style="4" customWidth="1"/>
    <col min="7170" max="7176" width="9.109375" style="4"/>
    <col min="7177" max="7177" width="12.6640625" style="4" bestFit="1" customWidth="1"/>
    <col min="7178" max="7424" width="9.109375" style="4"/>
    <col min="7425" max="7425" width="17.88671875" style="4" customWidth="1"/>
    <col min="7426" max="7432" width="9.109375" style="4"/>
    <col min="7433" max="7433" width="12.6640625" style="4" bestFit="1" customWidth="1"/>
    <col min="7434" max="7680" width="9.109375" style="4"/>
    <col min="7681" max="7681" width="17.88671875" style="4" customWidth="1"/>
    <col min="7682" max="7688" width="9.109375" style="4"/>
    <col min="7689" max="7689" width="12.6640625" style="4" bestFit="1" customWidth="1"/>
    <col min="7690" max="7936" width="9.109375" style="4"/>
    <col min="7937" max="7937" width="17.88671875" style="4" customWidth="1"/>
    <col min="7938" max="7944" width="9.109375" style="4"/>
    <col min="7945" max="7945" width="12.6640625" style="4" bestFit="1" customWidth="1"/>
    <col min="7946" max="8192" width="9.109375" style="4"/>
    <col min="8193" max="8193" width="17.88671875" style="4" customWidth="1"/>
    <col min="8194" max="8200" width="9.109375" style="4"/>
    <col min="8201" max="8201" width="12.6640625" style="4" bestFit="1" customWidth="1"/>
    <col min="8202" max="8448" width="9.109375" style="4"/>
    <col min="8449" max="8449" width="17.88671875" style="4" customWidth="1"/>
    <col min="8450" max="8456" width="9.109375" style="4"/>
    <col min="8457" max="8457" width="12.6640625" style="4" bestFit="1" customWidth="1"/>
    <col min="8458" max="8704" width="9.109375" style="4"/>
    <col min="8705" max="8705" width="17.88671875" style="4" customWidth="1"/>
    <col min="8706" max="8712" width="9.109375" style="4"/>
    <col min="8713" max="8713" width="12.6640625" style="4" bestFit="1" customWidth="1"/>
    <col min="8714" max="8960" width="9.109375" style="4"/>
    <col min="8961" max="8961" width="17.88671875" style="4" customWidth="1"/>
    <col min="8962" max="8968" width="9.109375" style="4"/>
    <col min="8969" max="8969" width="12.6640625" style="4" bestFit="1" customWidth="1"/>
    <col min="8970" max="9216" width="9.109375" style="4"/>
    <col min="9217" max="9217" width="17.88671875" style="4" customWidth="1"/>
    <col min="9218" max="9224" width="9.109375" style="4"/>
    <col min="9225" max="9225" width="12.6640625" style="4" bestFit="1" customWidth="1"/>
    <col min="9226" max="9472" width="9.109375" style="4"/>
    <col min="9473" max="9473" width="17.88671875" style="4" customWidth="1"/>
    <col min="9474" max="9480" width="9.109375" style="4"/>
    <col min="9481" max="9481" width="12.6640625" style="4" bestFit="1" customWidth="1"/>
    <col min="9482" max="9728" width="9.109375" style="4"/>
    <col min="9729" max="9729" width="17.88671875" style="4" customWidth="1"/>
    <col min="9730" max="9736" width="9.109375" style="4"/>
    <col min="9737" max="9737" width="12.6640625" style="4" bestFit="1" customWidth="1"/>
    <col min="9738" max="9984" width="9.109375" style="4"/>
    <col min="9985" max="9985" width="17.88671875" style="4" customWidth="1"/>
    <col min="9986" max="9992" width="9.109375" style="4"/>
    <col min="9993" max="9993" width="12.6640625" style="4" bestFit="1" customWidth="1"/>
    <col min="9994" max="10240" width="9.109375" style="4"/>
    <col min="10241" max="10241" width="17.88671875" style="4" customWidth="1"/>
    <col min="10242" max="10248" width="9.109375" style="4"/>
    <col min="10249" max="10249" width="12.6640625" style="4" bestFit="1" customWidth="1"/>
    <col min="10250" max="10496" width="9.109375" style="4"/>
    <col min="10497" max="10497" width="17.88671875" style="4" customWidth="1"/>
    <col min="10498" max="10504" width="9.109375" style="4"/>
    <col min="10505" max="10505" width="12.6640625" style="4" bestFit="1" customWidth="1"/>
    <col min="10506" max="10752" width="9.109375" style="4"/>
    <col min="10753" max="10753" width="17.88671875" style="4" customWidth="1"/>
    <col min="10754" max="10760" width="9.109375" style="4"/>
    <col min="10761" max="10761" width="12.6640625" style="4" bestFit="1" customWidth="1"/>
    <col min="10762" max="11008" width="9.109375" style="4"/>
    <col min="11009" max="11009" width="17.88671875" style="4" customWidth="1"/>
    <col min="11010" max="11016" width="9.109375" style="4"/>
    <col min="11017" max="11017" width="12.6640625" style="4" bestFit="1" customWidth="1"/>
    <col min="11018" max="11264" width="9.109375" style="4"/>
    <col min="11265" max="11265" width="17.88671875" style="4" customWidth="1"/>
    <col min="11266" max="11272" width="9.109375" style="4"/>
    <col min="11273" max="11273" width="12.6640625" style="4" bestFit="1" customWidth="1"/>
    <col min="11274" max="11520" width="9.109375" style="4"/>
    <col min="11521" max="11521" width="17.88671875" style="4" customWidth="1"/>
    <col min="11522" max="11528" width="9.109375" style="4"/>
    <col min="11529" max="11529" width="12.6640625" style="4" bestFit="1" customWidth="1"/>
    <col min="11530" max="11776" width="9.109375" style="4"/>
    <col min="11777" max="11777" width="17.88671875" style="4" customWidth="1"/>
    <col min="11778" max="11784" width="9.109375" style="4"/>
    <col min="11785" max="11785" width="12.6640625" style="4" bestFit="1" customWidth="1"/>
    <col min="11786" max="12032" width="9.109375" style="4"/>
    <col min="12033" max="12033" width="17.88671875" style="4" customWidth="1"/>
    <col min="12034" max="12040" width="9.109375" style="4"/>
    <col min="12041" max="12041" width="12.6640625" style="4" bestFit="1" customWidth="1"/>
    <col min="12042" max="12288" width="9.109375" style="4"/>
    <col min="12289" max="12289" width="17.88671875" style="4" customWidth="1"/>
    <col min="12290" max="12296" width="9.109375" style="4"/>
    <col min="12297" max="12297" width="12.6640625" style="4" bestFit="1" customWidth="1"/>
    <col min="12298" max="12544" width="9.109375" style="4"/>
    <col min="12545" max="12545" width="17.88671875" style="4" customWidth="1"/>
    <col min="12546" max="12552" width="9.109375" style="4"/>
    <col min="12553" max="12553" width="12.6640625" style="4" bestFit="1" customWidth="1"/>
    <col min="12554" max="12800" width="9.109375" style="4"/>
    <col min="12801" max="12801" width="17.88671875" style="4" customWidth="1"/>
    <col min="12802" max="12808" width="9.109375" style="4"/>
    <col min="12809" max="12809" width="12.6640625" style="4" bestFit="1" customWidth="1"/>
    <col min="12810" max="13056" width="9.109375" style="4"/>
    <col min="13057" max="13057" width="17.88671875" style="4" customWidth="1"/>
    <col min="13058" max="13064" width="9.109375" style="4"/>
    <col min="13065" max="13065" width="12.6640625" style="4" bestFit="1" customWidth="1"/>
    <col min="13066" max="13312" width="9.109375" style="4"/>
    <col min="13313" max="13313" width="17.88671875" style="4" customWidth="1"/>
    <col min="13314" max="13320" width="9.109375" style="4"/>
    <col min="13321" max="13321" width="12.6640625" style="4" bestFit="1" customWidth="1"/>
    <col min="13322" max="13568" width="9.109375" style="4"/>
    <col min="13569" max="13569" width="17.88671875" style="4" customWidth="1"/>
    <col min="13570" max="13576" width="9.109375" style="4"/>
    <col min="13577" max="13577" width="12.6640625" style="4" bestFit="1" customWidth="1"/>
    <col min="13578" max="13824" width="9.109375" style="4"/>
    <col min="13825" max="13825" width="17.88671875" style="4" customWidth="1"/>
    <col min="13826" max="13832" width="9.109375" style="4"/>
    <col min="13833" max="13833" width="12.6640625" style="4" bestFit="1" customWidth="1"/>
    <col min="13834" max="14080" width="9.109375" style="4"/>
    <col min="14081" max="14081" width="17.88671875" style="4" customWidth="1"/>
    <col min="14082" max="14088" width="9.109375" style="4"/>
    <col min="14089" max="14089" width="12.6640625" style="4" bestFit="1" customWidth="1"/>
    <col min="14090" max="14336" width="9.109375" style="4"/>
    <col min="14337" max="14337" width="17.88671875" style="4" customWidth="1"/>
    <col min="14338" max="14344" width="9.109375" style="4"/>
    <col min="14345" max="14345" width="12.6640625" style="4" bestFit="1" customWidth="1"/>
    <col min="14346" max="14592" width="9.109375" style="4"/>
    <col min="14593" max="14593" width="17.88671875" style="4" customWidth="1"/>
    <col min="14594" max="14600" width="9.109375" style="4"/>
    <col min="14601" max="14601" width="12.6640625" style="4" bestFit="1" customWidth="1"/>
    <col min="14602" max="14848" width="9.109375" style="4"/>
    <col min="14849" max="14849" width="17.88671875" style="4" customWidth="1"/>
    <col min="14850" max="14856" width="9.109375" style="4"/>
    <col min="14857" max="14857" width="12.6640625" style="4" bestFit="1" customWidth="1"/>
    <col min="14858" max="15104" width="9.109375" style="4"/>
    <col min="15105" max="15105" width="17.88671875" style="4" customWidth="1"/>
    <col min="15106" max="15112" width="9.109375" style="4"/>
    <col min="15113" max="15113" width="12.6640625" style="4" bestFit="1" customWidth="1"/>
    <col min="15114" max="15360" width="9.109375" style="4"/>
    <col min="15361" max="15361" width="17.88671875" style="4" customWidth="1"/>
    <col min="15362" max="15368" width="9.109375" style="4"/>
    <col min="15369" max="15369" width="12.6640625" style="4" bestFit="1" customWidth="1"/>
    <col min="15370" max="15616" width="9.109375" style="4"/>
    <col min="15617" max="15617" width="17.88671875" style="4" customWidth="1"/>
    <col min="15618" max="15624" width="9.109375" style="4"/>
    <col min="15625" max="15625" width="12.6640625" style="4" bestFit="1" customWidth="1"/>
    <col min="15626" max="15872" width="9.109375" style="4"/>
    <col min="15873" max="15873" width="17.88671875" style="4" customWidth="1"/>
    <col min="15874" max="15880" width="9.109375" style="4"/>
    <col min="15881" max="15881" width="12.6640625" style="4" bestFit="1" customWidth="1"/>
    <col min="15882" max="16128" width="9.109375" style="4"/>
    <col min="16129" max="16129" width="17.88671875" style="4" customWidth="1"/>
    <col min="16130" max="16136" width="9.109375" style="4"/>
    <col min="16137" max="16137" width="12.6640625" style="4" bestFit="1" customWidth="1"/>
    <col min="16138" max="16384" width="9.109375" style="4"/>
  </cols>
  <sheetData>
    <row r="1" spans="1:9" x14ac:dyDescent="0.4">
      <c r="A1" s="10" t="s">
        <v>44</v>
      </c>
      <c r="B1" s="10"/>
      <c r="C1" s="10"/>
      <c r="D1" s="10"/>
      <c r="E1" s="10"/>
      <c r="F1" s="10"/>
    </row>
    <row r="2" spans="1:9" x14ac:dyDescent="0.4">
      <c r="A2" s="10" t="s">
        <v>45</v>
      </c>
      <c r="B2" s="10"/>
      <c r="C2" s="10"/>
      <c r="D2" s="10"/>
      <c r="E2" s="10"/>
      <c r="F2" s="10"/>
    </row>
    <row r="3" spans="1:9" x14ac:dyDescent="0.4">
      <c r="A3" s="10"/>
      <c r="B3" s="10"/>
      <c r="C3" s="10"/>
      <c r="D3" s="10"/>
      <c r="E3" s="10"/>
      <c r="F3" s="10"/>
    </row>
    <row r="4" spans="1:9" x14ac:dyDescent="0.4">
      <c r="A4" s="10" t="s">
        <v>46</v>
      </c>
      <c r="B4" s="10" t="s">
        <v>47</v>
      </c>
      <c r="C4" s="10"/>
      <c r="D4" s="10"/>
      <c r="E4" s="10"/>
      <c r="F4" s="10"/>
    </row>
    <row r="5" spans="1:9" x14ac:dyDescent="0.4">
      <c r="A5" s="46" t="s">
        <v>48</v>
      </c>
      <c r="B5" s="46" t="s">
        <v>49</v>
      </c>
      <c r="C5" s="10"/>
      <c r="D5" s="10"/>
      <c r="E5" s="10"/>
      <c r="F5" s="10"/>
    </row>
    <row r="6" spans="1:9" x14ac:dyDescent="0.4">
      <c r="A6" s="26" t="s">
        <v>64</v>
      </c>
      <c r="B6" s="10">
        <v>174</v>
      </c>
      <c r="C6" s="10"/>
      <c r="D6" s="10"/>
      <c r="E6" s="10"/>
      <c r="F6" s="10"/>
    </row>
    <row r="7" spans="1:9" x14ac:dyDescent="0.4">
      <c r="A7" s="10" t="s">
        <v>65</v>
      </c>
      <c r="B7" s="10">
        <v>87</v>
      </c>
      <c r="C7" s="10"/>
      <c r="D7" s="10"/>
      <c r="E7" s="10"/>
      <c r="F7" s="10"/>
    </row>
    <row r="8" spans="1:9" x14ac:dyDescent="0.4">
      <c r="A8" s="10" t="s">
        <v>66</v>
      </c>
      <c r="B8" s="10">
        <v>39</v>
      </c>
      <c r="C8" s="10"/>
      <c r="D8" s="10"/>
      <c r="E8" s="10"/>
      <c r="F8" s="10"/>
    </row>
    <row r="9" spans="1:9" x14ac:dyDescent="0.4">
      <c r="A9" s="10"/>
      <c r="B9" s="10"/>
      <c r="C9" s="10"/>
      <c r="D9" s="10"/>
      <c r="E9" s="10"/>
      <c r="F9" s="10"/>
    </row>
    <row r="10" spans="1:9" x14ac:dyDescent="0.4">
      <c r="A10" s="37" t="s">
        <v>50</v>
      </c>
      <c r="B10" s="10"/>
      <c r="C10" s="10"/>
      <c r="D10" s="10"/>
      <c r="E10" s="10"/>
      <c r="F10" s="10"/>
    </row>
    <row r="11" spans="1:9" x14ac:dyDescent="0.4">
      <c r="A11" s="37" t="s">
        <v>51</v>
      </c>
      <c r="B11" s="10"/>
      <c r="C11" s="10"/>
      <c r="D11" s="10"/>
      <c r="E11" s="10"/>
      <c r="F11" s="10"/>
    </row>
    <row r="12" spans="1:9" x14ac:dyDescent="0.4">
      <c r="A12" s="37" t="s">
        <v>52</v>
      </c>
      <c r="F12" s="10"/>
    </row>
    <row r="13" spans="1:9" x14ac:dyDescent="0.4">
      <c r="A13" s="37" t="s">
        <v>67</v>
      </c>
      <c r="F13" s="10"/>
    </row>
    <row r="14" spans="1:9" x14ac:dyDescent="0.4">
      <c r="F14" s="10"/>
    </row>
    <row r="15" spans="1:9" x14ac:dyDescent="0.4">
      <c r="A15" s="20" t="s">
        <v>0</v>
      </c>
      <c r="B15" s="9"/>
      <c r="F15" s="10"/>
    </row>
    <row r="16" spans="1:9" ht="36.9" x14ac:dyDescent="0.4">
      <c r="A16" s="47" t="s">
        <v>53</v>
      </c>
      <c r="B16" s="47" t="s">
        <v>54</v>
      </c>
      <c r="C16" s="48" t="s">
        <v>55</v>
      </c>
      <c r="D16" s="49" t="s">
        <v>56</v>
      </c>
      <c r="E16" s="49" t="s">
        <v>57</v>
      </c>
      <c r="F16" s="25" t="s">
        <v>58</v>
      </c>
      <c r="G16" s="50" t="s">
        <v>59</v>
      </c>
      <c r="H16" s="50" t="s">
        <v>60</v>
      </c>
      <c r="I16" s="50" t="s">
        <v>61</v>
      </c>
    </row>
    <row r="17" spans="1:9" x14ac:dyDescent="0.4">
      <c r="A17" s="51" t="str">
        <f>A6</f>
        <v xml:space="preserve">(100-250] </v>
      </c>
      <c r="B17" s="51">
        <f>B6</f>
        <v>174</v>
      </c>
      <c r="C17" s="4">
        <v>150</v>
      </c>
      <c r="D17" s="4">
        <f>B17/C17</f>
        <v>1.1599999999999999</v>
      </c>
      <c r="E17" s="4">
        <f>D17/B$20</f>
        <v>3.8666666666666663E-3</v>
      </c>
      <c r="F17" s="9">
        <f>B17/B$20</f>
        <v>0.57999999999999996</v>
      </c>
      <c r="G17" s="4">
        <f>F17</f>
        <v>0.57999999999999996</v>
      </c>
      <c r="H17" s="9">
        <f>350/2</f>
        <v>175</v>
      </c>
      <c r="I17" s="52">
        <f>B17*H17</f>
        <v>30450</v>
      </c>
    </row>
    <row r="18" spans="1:9" x14ac:dyDescent="0.4">
      <c r="A18" s="51" t="str">
        <f t="shared" ref="A18:B19" si="0">A7</f>
        <v xml:space="preserve">(250-500] </v>
      </c>
      <c r="B18" s="51">
        <f t="shared" si="0"/>
        <v>87</v>
      </c>
      <c r="C18" s="4">
        <v>250</v>
      </c>
      <c r="D18" s="4">
        <f>B18/C18</f>
        <v>0.34799999999999998</v>
      </c>
      <c r="E18" s="4">
        <f>D18/B$20</f>
        <v>1.16E-3</v>
      </c>
      <c r="F18" s="9">
        <f>B18/B$20</f>
        <v>0.28999999999999998</v>
      </c>
      <c r="G18" s="4">
        <f>G17+F18</f>
        <v>0.86999999999999988</v>
      </c>
      <c r="H18" s="4">
        <f>750/2</f>
        <v>375</v>
      </c>
      <c r="I18" s="52">
        <f t="shared" ref="I18:I19" si="1">B18*H18</f>
        <v>32625</v>
      </c>
    </row>
    <row r="19" spans="1:9" x14ac:dyDescent="0.4">
      <c r="A19" s="51" t="str">
        <f t="shared" si="0"/>
        <v xml:space="preserve">(500-2500] </v>
      </c>
      <c r="B19" s="51">
        <f t="shared" si="0"/>
        <v>39</v>
      </c>
      <c r="C19" s="4">
        <v>2000</v>
      </c>
      <c r="D19" s="4">
        <f>B19/C19</f>
        <v>1.95E-2</v>
      </c>
      <c r="E19" s="4">
        <f>D19/B$20</f>
        <v>6.4999999999999994E-5</v>
      </c>
      <c r="F19" s="9">
        <f>B19/B$20</f>
        <v>0.13</v>
      </c>
      <c r="G19" s="4">
        <f>G18+F19</f>
        <v>0.99999999999999989</v>
      </c>
      <c r="H19" s="4">
        <f>3000/2</f>
        <v>1500</v>
      </c>
      <c r="I19" s="52">
        <f t="shared" si="1"/>
        <v>58500</v>
      </c>
    </row>
    <row r="20" spans="1:9" x14ac:dyDescent="0.4">
      <c r="B20" s="4">
        <f>SUM(B17:B19)</f>
        <v>300</v>
      </c>
      <c r="F20" s="9">
        <f>B20/B$20</f>
        <v>1</v>
      </c>
      <c r="I20" s="52">
        <f>SUM(I17:I19)</f>
        <v>121575</v>
      </c>
    </row>
    <row r="21" spans="1:9" x14ac:dyDescent="0.4">
      <c r="F21" s="9"/>
      <c r="I21" s="52"/>
    </row>
    <row r="22" spans="1:9" x14ac:dyDescent="0.4">
      <c r="A22" s="53" t="s">
        <v>1</v>
      </c>
      <c r="F22" s="9"/>
      <c r="I22" s="52"/>
    </row>
    <row r="23" spans="1:9" x14ac:dyDescent="0.4">
      <c r="A23" s="53" t="s">
        <v>14</v>
      </c>
      <c r="B23" s="4">
        <f>I20/B20</f>
        <v>405.25</v>
      </c>
      <c r="F23" s="10"/>
    </row>
    <row r="24" spans="1:9" x14ac:dyDescent="0.4">
      <c r="F24" s="10"/>
    </row>
    <row r="25" spans="1:9" x14ac:dyDescent="0.4">
      <c r="A25" s="9" t="s">
        <v>1</v>
      </c>
      <c r="F25" s="10"/>
    </row>
    <row r="26" spans="1:9" x14ac:dyDescent="0.4">
      <c r="A26" s="4" t="s">
        <v>62</v>
      </c>
      <c r="B26" s="4">
        <f>100+(0.5-0)/(G17-0)*C17</f>
        <v>229.31034482758622</v>
      </c>
      <c r="F26" s="10"/>
    </row>
    <row r="27" spans="1:9" x14ac:dyDescent="0.4">
      <c r="F27" s="10"/>
    </row>
    <row r="28" spans="1:9" x14ac:dyDescent="0.4">
      <c r="A28" s="4" t="s">
        <v>2</v>
      </c>
      <c r="F28" s="10"/>
    </row>
    <row r="29" spans="1:9" x14ac:dyDescent="0.4">
      <c r="A29" s="20" t="s">
        <v>68</v>
      </c>
      <c r="F29" s="54">
        <f>(B17+B18*(300-250)/C18)/B20*100</f>
        <v>63.800000000000004</v>
      </c>
      <c r="G29" s="4" t="s">
        <v>63</v>
      </c>
    </row>
    <row r="30" spans="1:9" x14ac:dyDescent="0.4">
      <c r="F30" s="10"/>
    </row>
    <row r="31" spans="1:9" x14ac:dyDescent="0.4">
      <c r="F31" s="10"/>
    </row>
    <row r="32" spans="1:9" x14ac:dyDescent="0.4">
      <c r="F32" s="10"/>
    </row>
    <row r="33" spans="1:8" x14ac:dyDescent="0.4">
      <c r="F33" s="10"/>
    </row>
    <row r="34" spans="1:8" ht="15" x14ac:dyDescent="0.5">
      <c r="A34" s="55"/>
      <c r="G34" s="2"/>
      <c r="H34" s="2"/>
    </row>
    <row r="36" spans="1:8" ht="15" x14ac:dyDescent="0.5">
      <c r="G36" s="2"/>
      <c r="H36" s="2"/>
    </row>
    <row r="38" spans="1:8" x14ac:dyDescent="0.4">
      <c r="A38" s="9"/>
      <c r="B38" s="9"/>
      <c r="C38" s="44"/>
      <c r="D38" s="44"/>
      <c r="E38" s="44"/>
    </row>
    <row r="39" spans="1:8" x14ac:dyDescent="0.4">
      <c r="A39" s="9"/>
      <c r="B39" s="9"/>
      <c r="C39" s="9"/>
      <c r="D39" s="9"/>
      <c r="E39" s="9"/>
    </row>
    <row r="40" spans="1:8" ht="12.75" customHeight="1" x14ac:dyDescent="0.4">
      <c r="A40" s="45"/>
      <c r="B40" s="9"/>
      <c r="C40" s="9"/>
      <c r="D40" s="9"/>
      <c r="E40" s="9"/>
    </row>
    <row r="41" spans="1:8" x14ac:dyDescent="0.4">
      <c r="A41" s="45"/>
      <c r="B41" s="9"/>
      <c r="C41" s="9"/>
      <c r="D41" s="9"/>
      <c r="E41" s="9"/>
    </row>
    <row r="42" spans="1:8" x14ac:dyDescent="0.4">
      <c r="A42" s="9"/>
    </row>
    <row r="43" spans="1:8" x14ac:dyDescent="0.4">
      <c r="A43" s="9"/>
    </row>
    <row r="48" spans="1:8" x14ac:dyDescent="0.4">
      <c r="A48" s="9"/>
      <c r="B48" s="9"/>
      <c r="C48" s="44"/>
      <c r="D48" s="44"/>
      <c r="E48" s="44"/>
    </row>
    <row r="49" spans="1:5" x14ac:dyDescent="0.4">
      <c r="A49" s="9"/>
      <c r="B49" s="9"/>
      <c r="C49" s="9"/>
      <c r="D49" s="9"/>
      <c r="E49" s="9"/>
    </row>
    <row r="50" spans="1:5" ht="12.75" customHeight="1" x14ac:dyDescent="0.4">
      <c r="A50" s="45"/>
      <c r="B50" s="9"/>
      <c r="C50" s="9"/>
      <c r="D50" s="9"/>
      <c r="E50" s="9"/>
    </row>
    <row r="51" spans="1:5" x14ac:dyDescent="0.4">
      <c r="A51" s="45"/>
      <c r="B51" s="9"/>
      <c r="C51" s="9"/>
      <c r="D51" s="9"/>
      <c r="E51" s="9"/>
    </row>
    <row r="52" spans="1:5" x14ac:dyDescent="0.4">
      <c r="A52" s="9"/>
    </row>
  </sheetData>
  <mergeCells count="4">
    <mergeCell ref="A40:A41"/>
    <mergeCell ref="C48:E48"/>
    <mergeCell ref="A50:A51"/>
    <mergeCell ref="C38:E3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topLeftCell="A7" zoomScale="150" zoomScaleNormal="150" workbookViewId="0">
      <selection activeCell="E25" sqref="E25"/>
    </sheetView>
  </sheetViews>
  <sheetFormatPr defaultColWidth="9.109375" defaultRowHeight="12.3" x14ac:dyDescent="0.4"/>
  <cols>
    <col min="1" max="1" width="27.33203125" style="4" customWidth="1"/>
    <col min="2" max="2" width="6.109375" style="4" customWidth="1"/>
    <col min="3" max="3" width="7.109375" style="4" customWidth="1"/>
    <col min="4" max="4" width="6.5546875" style="4" customWidth="1"/>
    <col min="5" max="5" width="6.88671875" style="4" customWidth="1"/>
    <col min="6" max="6" width="6.33203125" style="4" customWidth="1"/>
    <col min="7" max="7" width="6.109375" style="4" customWidth="1"/>
    <col min="8" max="8" width="7.5" style="4" customWidth="1"/>
    <col min="9" max="10" width="4.88671875" style="4" customWidth="1"/>
    <col min="11" max="11" width="6.109375" style="4" customWidth="1"/>
    <col min="12" max="12" width="6.5546875" style="4" customWidth="1"/>
    <col min="13" max="13" width="6.6640625" style="4" customWidth="1"/>
    <col min="14" max="16384" width="9.109375" style="4"/>
  </cols>
  <sheetData>
    <row r="1" spans="1:5" ht="15" x14ac:dyDescent="0.5">
      <c r="A1" s="3" t="s">
        <v>97</v>
      </c>
      <c r="B1"/>
      <c r="C1"/>
      <c r="D1"/>
      <c r="E1" s="5"/>
    </row>
    <row r="2" spans="1:5" ht="15" x14ac:dyDescent="0.5">
      <c r="A2" s="28" t="s">
        <v>103</v>
      </c>
      <c r="B2"/>
      <c r="C2"/>
      <c r="D2"/>
      <c r="E2" s="5"/>
    </row>
    <row r="3" spans="1:5" ht="15" x14ac:dyDescent="0.5">
      <c r="A3" s="3" t="s">
        <v>98</v>
      </c>
      <c r="B3"/>
      <c r="C3"/>
      <c r="D3"/>
      <c r="E3" s="5"/>
    </row>
    <row r="4" spans="1:5" x14ac:dyDescent="0.4">
      <c r="A4" s="3" t="s">
        <v>99</v>
      </c>
    </row>
    <row r="5" spans="1:5" ht="15" x14ac:dyDescent="0.5">
      <c r="A5" s="3" t="s">
        <v>100</v>
      </c>
      <c r="B5"/>
      <c r="C5"/>
      <c r="D5"/>
      <c r="E5" s="5"/>
    </row>
    <row r="6" spans="1:5" ht="15" x14ac:dyDescent="0.5">
      <c r="A6" s="3" t="s">
        <v>101</v>
      </c>
      <c r="B6"/>
      <c r="C6"/>
      <c r="D6"/>
      <c r="E6" s="5"/>
    </row>
    <row r="7" spans="1:5" ht="15" x14ac:dyDescent="0.5">
      <c r="A7" s="3" t="s">
        <v>102</v>
      </c>
      <c r="B7"/>
      <c r="C7"/>
      <c r="D7"/>
      <c r="E7" s="5"/>
    </row>
    <row r="8" spans="1:5" ht="15" x14ac:dyDescent="0.5">
      <c r="A8" s="12" t="s">
        <v>90</v>
      </c>
      <c r="B8">
        <v>0.35</v>
      </c>
      <c r="C8"/>
      <c r="D8"/>
      <c r="E8" s="5"/>
    </row>
    <row r="9" spans="1:5" ht="15" x14ac:dyDescent="0.5">
      <c r="A9" s="12" t="s">
        <v>91</v>
      </c>
      <c r="B9">
        <f>1-B8</f>
        <v>0.65</v>
      </c>
      <c r="C9"/>
      <c r="D9"/>
      <c r="E9" s="5"/>
    </row>
    <row r="10" spans="1:5" ht="15" x14ac:dyDescent="0.5">
      <c r="A10" s="12"/>
      <c r="B10"/>
      <c r="C10"/>
      <c r="D10"/>
      <c r="E10" s="5"/>
    </row>
    <row r="11" spans="1:5" x14ac:dyDescent="0.4">
      <c r="A11" s="12" t="s">
        <v>92</v>
      </c>
      <c r="B11">
        <v>0.06</v>
      </c>
      <c r="C11"/>
      <c r="D11"/>
    </row>
    <row r="12" spans="1:5" x14ac:dyDescent="0.4">
      <c r="A12" s="12" t="s">
        <v>93</v>
      </c>
      <c r="B12">
        <v>0.04</v>
      </c>
      <c r="C12"/>
      <c r="D12"/>
    </row>
    <row r="13" spans="1:5" x14ac:dyDescent="0.4">
      <c r="A13" s="12"/>
      <c r="B13"/>
      <c r="C13"/>
      <c r="D13"/>
    </row>
    <row r="14" spans="1:5" x14ac:dyDescent="0.4">
      <c r="A14" s="12" t="s">
        <v>0</v>
      </c>
      <c r="B14"/>
      <c r="C14"/>
      <c r="D14"/>
    </row>
    <row r="15" spans="1:5" x14ac:dyDescent="0.4">
      <c r="A15" s="12" t="s">
        <v>94</v>
      </c>
      <c r="B15">
        <f>B11*B8+B12*B9</f>
        <v>4.7E-2</v>
      </c>
      <c r="C15"/>
      <c r="D15"/>
    </row>
    <row r="16" spans="1:5" x14ac:dyDescent="0.4">
      <c r="A16" s="12" t="s">
        <v>1</v>
      </c>
      <c r="B16"/>
      <c r="C16"/>
      <c r="D16"/>
    </row>
    <row r="17" spans="1:10" x14ac:dyDescent="0.4">
      <c r="A17" s="12" t="s">
        <v>95</v>
      </c>
      <c r="B17">
        <f>B11*B8/B15</f>
        <v>0.44680851063829785</v>
      </c>
      <c r="C17"/>
      <c r="D17"/>
    </row>
    <row r="18" spans="1:10" x14ac:dyDescent="0.4">
      <c r="A18" s="18" t="s">
        <v>2</v>
      </c>
    </row>
    <row r="19" spans="1:10" x14ac:dyDescent="0.4">
      <c r="A19" s="62" t="s">
        <v>96</v>
      </c>
    </row>
    <row r="20" spans="1:10" x14ac:dyDescent="0.4">
      <c r="A20" s="62" t="s">
        <v>4</v>
      </c>
      <c r="B20" s="4">
        <v>10</v>
      </c>
    </row>
    <row r="21" spans="1:10" x14ac:dyDescent="0.4">
      <c r="A21" s="62" t="s">
        <v>74</v>
      </c>
      <c r="B21" s="4">
        <f>B8</f>
        <v>0.35</v>
      </c>
    </row>
    <row r="22" spans="1:10" x14ac:dyDescent="0.4">
      <c r="A22" s="62" t="s">
        <v>104</v>
      </c>
      <c r="B22" s="4">
        <v>1</v>
      </c>
      <c r="C22" s="63" t="s">
        <v>33</v>
      </c>
      <c r="D22" s="4">
        <f>BINOMDIST(0,B20,B21,FALSE)</f>
        <v>1.3462743344628901E-2</v>
      </c>
      <c r="E22" s="27" t="s">
        <v>33</v>
      </c>
      <c r="F22" s="4">
        <f>BINOMDIST(1,B20,B21,FALSE)</f>
        <v>7.2491694932617215E-2</v>
      </c>
      <c r="G22" s="27" t="s">
        <v>33</v>
      </c>
      <c r="H22" s="4">
        <f>BINOMDIST(2,B20,B21,FALSE)</f>
        <v>0.17565295310595713</v>
      </c>
      <c r="I22" s="27" t="s">
        <v>34</v>
      </c>
      <c r="J22" s="4">
        <f>1-D22-F22-H22</f>
        <v>0.73839260861679668</v>
      </c>
    </row>
    <row r="23" spans="1:10" x14ac:dyDescent="0.4">
      <c r="A23" s="62" t="s">
        <v>13</v>
      </c>
    </row>
    <row r="24" spans="1:10" x14ac:dyDescent="0.4">
      <c r="A24" s="62" t="s">
        <v>105</v>
      </c>
      <c r="E24" s="4">
        <f>250*B15</f>
        <v>11.75</v>
      </c>
    </row>
    <row r="25" spans="1:10" x14ac:dyDescent="0.4">
      <c r="A25" s="62"/>
    </row>
    <row r="26" spans="1:10" x14ac:dyDescent="0.4">
      <c r="A26" s="64"/>
    </row>
    <row r="27" spans="1:10" x14ac:dyDescent="0.4">
      <c r="A27" s="64"/>
    </row>
    <row r="28" spans="1:10" x14ac:dyDescent="0.4">
      <c r="A28" s="62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"/>
  <sheetViews>
    <sheetView topLeftCell="A11" zoomScale="150" zoomScaleNormal="150" workbookViewId="0">
      <selection activeCell="D30" sqref="D30"/>
    </sheetView>
  </sheetViews>
  <sheetFormatPr defaultRowHeight="12.3" x14ac:dyDescent="0.4"/>
  <cols>
    <col min="1" max="1" width="15" customWidth="1"/>
    <col min="2" max="2" width="8.5546875" customWidth="1"/>
    <col min="3" max="3" width="8.6640625" customWidth="1"/>
    <col min="4" max="4" width="12.21875" customWidth="1"/>
    <col min="5" max="5" width="5.5546875" customWidth="1"/>
    <col min="6" max="6" width="6.6640625" customWidth="1"/>
    <col min="7" max="7" width="9.6640625" customWidth="1"/>
    <col min="10" max="10" width="8.44140625" customWidth="1"/>
  </cols>
  <sheetData>
    <row r="1" spans="1:10" x14ac:dyDescent="0.4">
      <c r="A1" s="56" t="s">
        <v>76</v>
      </c>
    </row>
    <row r="2" spans="1:10" x14ac:dyDescent="0.4">
      <c r="A2" s="56" t="s">
        <v>77</v>
      </c>
    </row>
    <row r="3" spans="1:10" x14ac:dyDescent="0.4">
      <c r="A3" s="56" t="s">
        <v>78</v>
      </c>
    </row>
    <row r="4" spans="1:10" x14ac:dyDescent="0.4">
      <c r="A4" s="57" t="s">
        <v>79</v>
      </c>
    </row>
    <row r="5" spans="1:10" x14ac:dyDescent="0.4">
      <c r="A5" s="56" t="s">
        <v>80</v>
      </c>
    </row>
    <row r="6" spans="1:10" x14ac:dyDescent="0.4">
      <c r="A6" s="56" t="s">
        <v>82</v>
      </c>
    </row>
    <row r="7" spans="1:10" x14ac:dyDescent="0.4">
      <c r="A7" s="19" t="s">
        <v>81</v>
      </c>
    </row>
    <row r="8" spans="1:10" x14ac:dyDescent="0.4">
      <c r="A8" s="3"/>
    </row>
    <row r="9" spans="1:10" x14ac:dyDescent="0.4">
      <c r="A9" s="6" t="s">
        <v>83</v>
      </c>
    </row>
    <row r="10" spans="1:10" x14ac:dyDescent="0.4">
      <c r="A10" s="6" t="s">
        <v>0</v>
      </c>
    </row>
    <row r="11" spans="1:10" x14ac:dyDescent="0.4">
      <c r="A11" t="s">
        <v>69</v>
      </c>
      <c r="B11">
        <v>20</v>
      </c>
    </row>
    <row r="12" spans="1:10" x14ac:dyDescent="0.4">
      <c r="A12" t="s">
        <v>70</v>
      </c>
      <c r="B12">
        <v>25</v>
      </c>
    </row>
    <row r="13" spans="1:10" x14ac:dyDescent="0.4">
      <c r="A13" s="6" t="s">
        <v>84</v>
      </c>
      <c r="B13" s="6" t="s">
        <v>71</v>
      </c>
      <c r="C13" s="58">
        <f>(30-B11)/SQRT(B12)</f>
        <v>2</v>
      </c>
      <c r="D13" s="6" t="s">
        <v>72</v>
      </c>
      <c r="E13" s="58">
        <f>1-NORMSDIST(C13)</f>
        <v>2.2750131948179209E-2</v>
      </c>
      <c r="F13" s="8"/>
      <c r="H13" s="8"/>
    </row>
    <row r="14" spans="1:10" x14ac:dyDescent="0.4">
      <c r="A14" s="6"/>
      <c r="B14" s="59"/>
    </row>
    <row r="15" spans="1:10" x14ac:dyDescent="0.4">
      <c r="A15" s="6" t="s">
        <v>1</v>
      </c>
      <c r="B15" s="11"/>
    </row>
    <row r="16" spans="1:10" x14ac:dyDescent="0.4">
      <c r="A16" s="6" t="s">
        <v>85</v>
      </c>
      <c r="B16">
        <f>(15-B11)/SQRT(B12)</f>
        <v>-1</v>
      </c>
      <c r="C16" s="58" t="s">
        <v>73</v>
      </c>
      <c r="D16" s="60">
        <f>(27-B11)/SQRT(B12)</f>
        <v>1.4</v>
      </c>
      <c r="E16" s="58" t="s">
        <v>3</v>
      </c>
      <c r="F16">
        <f>_xlfn.NORM.S.DIST(D16,TRUE)</f>
        <v>0.91924334076622893</v>
      </c>
      <c r="G16" s="8" t="s">
        <v>33</v>
      </c>
      <c r="H16">
        <f>_xlfn.NORM.S.DIST(B16,TRUE)</f>
        <v>0.15865525393145699</v>
      </c>
      <c r="I16" s="8" t="s">
        <v>34</v>
      </c>
      <c r="J16">
        <f>F16-H16</f>
        <v>0.76058808683477197</v>
      </c>
    </row>
    <row r="17" spans="1:10" x14ac:dyDescent="0.4">
      <c r="B17" s="59"/>
    </row>
    <row r="18" spans="1:10" x14ac:dyDescent="0.4">
      <c r="A18" t="s">
        <v>2</v>
      </c>
    </row>
    <row r="19" spans="1:10" x14ac:dyDescent="0.4">
      <c r="A19" t="s">
        <v>86</v>
      </c>
    </row>
    <row r="20" spans="1:10" x14ac:dyDescent="0.4">
      <c r="A20" t="s">
        <v>69</v>
      </c>
      <c r="B20">
        <f>B11</f>
        <v>20</v>
      </c>
    </row>
    <row r="21" spans="1:10" x14ac:dyDescent="0.4">
      <c r="A21" t="s">
        <v>70</v>
      </c>
      <c r="B21">
        <f>B12/5</f>
        <v>5</v>
      </c>
    </row>
    <row r="22" spans="1:10" x14ac:dyDescent="0.4">
      <c r="A22" t="s">
        <v>87</v>
      </c>
      <c r="B22">
        <f>(25-B20)/SQRT(B21)</f>
        <v>2.2360679774997898</v>
      </c>
      <c r="C22" t="s">
        <v>3</v>
      </c>
      <c r="D22">
        <f>1-_xlfn.NORM.S.DIST(B22,TRUE)</f>
        <v>1.26736593387341E-2</v>
      </c>
    </row>
    <row r="25" spans="1:10" x14ac:dyDescent="0.4">
      <c r="A25" t="s">
        <v>13</v>
      </c>
      <c r="B25" s="61"/>
    </row>
    <row r="26" spans="1:10" x14ac:dyDescent="0.4">
      <c r="A26" t="s">
        <v>88</v>
      </c>
      <c r="B26" s="59"/>
    </row>
    <row r="27" spans="1:10" x14ac:dyDescent="0.4">
      <c r="A27" t="s">
        <v>74</v>
      </c>
      <c r="B27" s="58">
        <f>E13</f>
        <v>2.2750131948179209E-2</v>
      </c>
    </row>
    <row r="28" spans="1:10" x14ac:dyDescent="0.4">
      <c r="A28" t="s">
        <v>4</v>
      </c>
      <c r="B28">
        <v>5</v>
      </c>
    </row>
    <row r="29" spans="1:10" x14ac:dyDescent="0.4">
      <c r="A29" t="s">
        <v>89</v>
      </c>
      <c r="E29">
        <f>BINOMDIST(0,5,$B27,FALSE)</f>
        <v>0.89130861106973414</v>
      </c>
      <c r="F29" s="8" t="s">
        <v>75</v>
      </c>
      <c r="G29">
        <f>BINOMDIST(1,5,$B27,FALSE)</f>
        <v>0.10374720514830266</v>
      </c>
      <c r="H29" s="8" t="s">
        <v>34</v>
      </c>
      <c r="I29">
        <f>E29+G29</f>
        <v>0.99505581621803674</v>
      </c>
      <c r="J29" s="8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topLeftCell="A9" zoomScale="150" zoomScaleNormal="150" workbookViewId="0">
      <selection activeCell="D25" sqref="D25"/>
    </sheetView>
  </sheetViews>
  <sheetFormatPr defaultColWidth="9.109375" defaultRowHeight="12.3" x14ac:dyDescent="0.4"/>
  <cols>
    <col min="1" max="1" width="14" style="4" customWidth="1"/>
    <col min="2" max="2" width="9.5546875" style="4" customWidth="1"/>
    <col min="3" max="3" width="9.109375" style="4"/>
    <col min="4" max="4" width="7.5546875" style="4" customWidth="1"/>
    <col min="5" max="5" width="6.109375" style="4" customWidth="1"/>
    <col min="6" max="6" width="8.109375" style="4" customWidth="1"/>
    <col min="7" max="7" width="5.5546875" style="4" customWidth="1"/>
    <col min="8" max="8" width="6.5546875" style="4" customWidth="1"/>
    <col min="9" max="9" width="9.88671875" style="4" customWidth="1"/>
    <col min="10" max="10" width="7.6640625" style="4" customWidth="1"/>
    <col min="11" max="16384" width="9.109375" style="4"/>
  </cols>
  <sheetData>
    <row r="1" spans="1:8" x14ac:dyDescent="0.4">
      <c r="A1" s="3" t="s">
        <v>125</v>
      </c>
      <c r="B1" s="3"/>
    </row>
    <row r="2" spans="1:8" x14ac:dyDescent="0.4">
      <c r="A2" s="3" t="s">
        <v>124</v>
      </c>
      <c r="B2" s="3"/>
    </row>
    <row r="3" spans="1:8" x14ac:dyDescent="0.4">
      <c r="A3" s="3" t="s">
        <v>126</v>
      </c>
      <c r="B3" s="3"/>
    </row>
    <row r="4" spans="1:8" x14ac:dyDescent="0.4">
      <c r="A4" s="3" t="s">
        <v>127</v>
      </c>
      <c r="B4" s="3"/>
    </row>
    <row r="5" spans="1:8" x14ac:dyDescent="0.4">
      <c r="A5" s="3" t="s">
        <v>35</v>
      </c>
      <c r="B5" s="3"/>
    </row>
    <row r="6" spans="1:8" x14ac:dyDescent="0.4">
      <c r="A6" s="3" t="s">
        <v>129</v>
      </c>
      <c r="B6" s="3"/>
    </row>
    <row r="7" spans="1:8" x14ac:dyDescent="0.4">
      <c r="A7" s="10" t="s">
        <v>16</v>
      </c>
      <c r="B7" s="17"/>
      <c r="C7" s="17"/>
      <c r="D7" s="17"/>
      <c r="E7" s="17"/>
      <c r="F7" s="17"/>
      <c r="G7" s="17"/>
      <c r="H7" s="10"/>
    </row>
    <row r="8" spans="1:8" x14ac:dyDescent="0.4">
      <c r="A8" s="10"/>
      <c r="B8" s="17"/>
      <c r="C8" s="17"/>
      <c r="D8" s="17"/>
      <c r="E8" s="17"/>
      <c r="F8" s="17"/>
      <c r="G8" s="17"/>
      <c r="H8" s="10"/>
    </row>
    <row r="9" spans="1:8" ht="15" x14ac:dyDescent="0.5">
      <c r="A9" s="18" t="s">
        <v>4</v>
      </c>
      <c r="B9" s="22">
        <v>400</v>
      </c>
      <c r="C9" s="9"/>
      <c r="D9" s="9"/>
      <c r="E9" s="9"/>
    </row>
    <row r="10" spans="1:8" x14ac:dyDescent="0.4">
      <c r="A10" s="23" t="s">
        <v>5</v>
      </c>
      <c r="B10" s="6">
        <f>15/B9</f>
        <v>3.7499999999999999E-2</v>
      </c>
      <c r="C10" s="9"/>
      <c r="D10" s="9"/>
      <c r="E10" s="9"/>
    </row>
    <row r="11" spans="1:8" x14ac:dyDescent="0.4">
      <c r="A11" s="23" t="s">
        <v>6</v>
      </c>
      <c r="B11" s="6">
        <f>SQRT(B10*(1-B10))</f>
        <v>0.18998355191963329</v>
      </c>
      <c r="C11" s="9"/>
      <c r="D11" s="9"/>
      <c r="E11" s="9"/>
    </row>
    <row r="12" spans="1:8" x14ac:dyDescent="0.4">
      <c r="A12" s="6"/>
      <c r="B12" s="6"/>
      <c r="C12" s="9"/>
      <c r="D12" s="9"/>
      <c r="E12" s="9"/>
    </row>
    <row r="13" spans="1:8" x14ac:dyDescent="0.4">
      <c r="A13" s="6" t="s">
        <v>0</v>
      </c>
      <c r="B13" s="6"/>
      <c r="C13" s="9"/>
      <c r="D13" s="9"/>
      <c r="E13" s="9"/>
    </row>
    <row r="14" spans="1:8" x14ac:dyDescent="0.4">
      <c r="A14" s="7" t="s">
        <v>11</v>
      </c>
      <c r="B14" s="6">
        <v>0.95</v>
      </c>
      <c r="C14" s="9"/>
      <c r="D14" s="9"/>
      <c r="E14" s="9"/>
    </row>
    <row r="15" spans="1:8" ht="14.7" x14ac:dyDescent="0.6">
      <c r="A15" s="6" t="s">
        <v>8</v>
      </c>
      <c r="B15" s="6">
        <f>NORMSINV((1-B14)/2+B14)</f>
        <v>1.9599639845400536</v>
      </c>
      <c r="C15" s="9"/>
      <c r="D15" s="9"/>
      <c r="E15" s="9"/>
    </row>
    <row r="16" spans="1:8" x14ac:dyDescent="0.4">
      <c r="A16" s="6" t="s">
        <v>9</v>
      </c>
      <c r="B16" s="6"/>
      <c r="C16" s="9"/>
      <c r="D16" s="21">
        <f>B10-B15*B11/SQRT(B9)</f>
        <v>1.8881954029126166E-2</v>
      </c>
      <c r="E16" s="9"/>
    </row>
    <row r="17" spans="1:5" x14ac:dyDescent="0.4">
      <c r="A17" s="6" t="s">
        <v>10</v>
      </c>
      <c r="B17" s="6"/>
      <c r="C17" s="9"/>
      <c r="D17" s="21">
        <f>B10+B15*B11/SQRT(B9)</f>
        <v>5.6118045970873831E-2</v>
      </c>
      <c r="E17" s="9"/>
    </row>
    <row r="18" spans="1:5" x14ac:dyDescent="0.4">
      <c r="A18" s="12"/>
      <c r="B18" s="6"/>
      <c r="C18" s="9"/>
      <c r="D18" s="9"/>
      <c r="E18" s="9"/>
    </row>
    <row r="19" spans="1:5" x14ac:dyDescent="0.4">
      <c r="A19" s="12" t="s">
        <v>128</v>
      </c>
      <c r="B19" s="6"/>
      <c r="C19" s="9"/>
      <c r="D19" s="9"/>
      <c r="E19" s="9"/>
    </row>
    <row r="20" spans="1:5" x14ac:dyDescent="0.4">
      <c r="A20" s="6"/>
      <c r="B20" s="6"/>
      <c r="C20" s="21"/>
      <c r="D20" s="9"/>
      <c r="E20" s="9"/>
    </row>
    <row r="21" spans="1:5" x14ac:dyDescent="0.4">
      <c r="A21" s="6" t="s">
        <v>2</v>
      </c>
      <c r="B21" s="6"/>
    </row>
    <row r="22" spans="1:5" x14ac:dyDescent="0.4">
      <c r="A22" s="7" t="s">
        <v>7</v>
      </c>
      <c r="B22" s="6">
        <v>0.05</v>
      </c>
    </row>
    <row r="23" spans="1:5" ht="14.7" x14ac:dyDescent="0.6">
      <c r="A23" s="15" t="s">
        <v>15</v>
      </c>
      <c r="B23" s="6">
        <f>-NORMSINV(1-B22)</f>
        <v>-1.6448536269514715</v>
      </c>
    </row>
    <row r="24" spans="1:5" x14ac:dyDescent="0.4">
      <c r="A24" s="6" t="s">
        <v>12</v>
      </c>
      <c r="B24" s="11">
        <f>(B10-0.06)/(SQRT(0.06*0.94/B9))</f>
        <v>-1.8948418223996677</v>
      </c>
      <c r="D24" s="4">
        <f>(SQRT(0.06*0.94/B9))</f>
        <v>1.1874342087037916E-2</v>
      </c>
    </row>
    <row r="25" spans="1:5" x14ac:dyDescent="0.4">
      <c r="A25" s="6" t="s">
        <v>36</v>
      </c>
      <c r="B25"/>
    </row>
    <row r="26" spans="1:5" x14ac:dyDescent="0.4">
      <c r="A26" s="6"/>
      <c r="B26"/>
    </row>
    <row r="27" spans="1:5" x14ac:dyDescent="0.4">
      <c r="A27" s="6" t="s">
        <v>13</v>
      </c>
      <c r="B27"/>
    </row>
    <row r="28" spans="1:5" x14ac:dyDescent="0.4">
      <c r="A28" s="6" t="s">
        <v>17</v>
      </c>
      <c r="B28" s="11"/>
    </row>
    <row r="29" spans="1:5" x14ac:dyDescent="0.4">
      <c r="A29" s="9" t="s">
        <v>18</v>
      </c>
    </row>
  </sheetData>
  <phoneticPr fontId="2" type="noConversion"/>
  <pageMargins left="0.75" right="0.75" top="1" bottom="1" header="0.5" footer="0.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topLeftCell="A21" zoomScale="150" zoomScaleNormal="150" workbookViewId="0">
      <selection activeCell="B40" sqref="B40"/>
    </sheetView>
  </sheetViews>
  <sheetFormatPr defaultColWidth="9.109375" defaultRowHeight="12.3" x14ac:dyDescent="0.4"/>
  <cols>
    <col min="1" max="1" width="14" style="4" customWidth="1"/>
    <col min="2" max="2" width="9.5546875" style="4" customWidth="1"/>
    <col min="3" max="3" width="9.109375" style="4"/>
    <col min="4" max="4" width="7.5546875" style="4" customWidth="1"/>
    <col min="5" max="5" width="6.109375" style="4" customWidth="1"/>
    <col min="6" max="6" width="8.109375" style="4" customWidth="1"/>
    <col min="7" max="7" width="5.5546875" style="4" customWidth="1"/>
    <col min="8" max="8" width="6.5546875" style="4" customWidth="1"/>
    <col min="9" max="9" width="9.88671875" style="4" customWidth="1"/>
    <col min="10" max="10" width="7.6640625" style="4" customWidth="1"/>
    <col min="11" max="16384" width="9.109375" style="4"/>
  </cols>
  <sheetData>
    <row r="1" spans="1:8" x14ac:dyDescent="0.4">
      <c r="A1" s="3" t="s">
        <v>122</v>
      </c>
      <c r="B1" s="3"/>
    </row>
    <row r="2" spans="1:8" x14ac:dyDescent="0.4">
      <c r="A2" s="3" t="s">
        <v>116</v>
      </c>
      <c r="B2" s="3"/>
    </row>
    <row r="3" spans="1:8" x14ac:dyDescent="0.4">
      <c r="A3" s="3" t="s">
        <v>117</v>
      </c>
      <c r="B3" s="3"/>
    </row>
    <row r="4" spans="1:8" x14ac:dyDescent="0.4">
      <c r="A4" s="10" t="s">
        <v>106</v>
      </c>
      <c r="B4" s="17"/>
      <c r="C4" s="17"/>
      <c r="D4" s="17"/>
      <c r="E4" s="17"/>
      <c r="F4" s="17"/>
      <c r="G4" s="17"/>
      <c r="H4" s="10"/>
    </row>
    <row r="5" spans="1:8" x14ac:dyDescent="0.4">
      <c r="A5" s="19" t="s">
        <v>118</v>
      </c>
      <c r="B5" s="10"/>
      <c r="C5" s="10"/>
      <c r="D5" s="10"/>
      <c r="E5" s="10"/>
      <c r="F5" s="10"/>
      <c r="G5" s="10"/>
      <c r="H5" s="10"/>
    </row>
    <row r="6" spans="1:8" x14ac:dyDescent="0.4">
      <c r="A6" s="19" t="s">
        <v>107</v>
      </c>
      <c r="B6" s="10"/>
      <c r="C6" s="10"/>
      <c r="D6" s="10"/>
      <c r="E6" s="10"/>
      <c r="F6" s="10"/>
      <c r="G6" s="10"/>
      <c r="H6" s="10"/>
    </row>
    <row r="7" spans="1:8" x14ac:dyDescent="0.4">
      <c r="A7" s="19" t="s">
        <v>119</v>
      </c>
      <c r="B7" s="10"/>
      <c r="C7" s="10"/>
      <c r="D7" s="10"/>
      <c r="E7" s="10"/>
      <c r="F7" s="10"/>
      <c r="G7" s="10"/>
      <c r="H7" s="10"/>
    </row>
    <row r="8" spans="1:8" x14ac:dyDescent="0.4">
      <c r="A8" s="19" t="s">
        <v>121</v>
      </c>
      <c r="B8" s="10"/>
      <c r="C8" s="10"/>
      <c r="D8" s="10"/>
      <c r="E8" s="10"/>
      <c r="F8" s="10"/>
      <c r="G8" s="10"/>
      <c r="H8" s="10"/>
    </row>
    <row r="9" spans="1:8" x14ac:dyDescent="0.4">
      <c r="A9" s="19" t="s">
        <v>108</v>
      </c>
      <c r="B9" s="10"/>
      <c r="C9" s="10"/>
      <c r="D9" s="10"/>
      <c r="E9" s="10"/>
      <c r="F9" s="10"/>
      <c r="G9" s="10"/>
      <c r="H9" s="10"/>
    </row>
    <row r="10" spans="1:8" ht="15" x14ac:dyDescent="0.5">
      <c r="A10" s="2"/>
      <c r="B10" s="2"/>
    </row>
    <row r="11" spans="1:8" ht="15" x14ac:dyDescent="0.5">
      <c r="A11" s="18" t="s">
        <v>4</v>
      </c>
      <c r="B11" s="5">
        <v>50</v>
      </c>
      <c r="C11" s="9"/>
      <c r="D11" s="9"/>
      <c r="E11" s="9"/>
    </row>
    <row r="12" spans="1:8" x14ac:dyDescent="0.4">
      <c r="A12" s="23" t="s">
        <v>5</v>
      </c>
      <c r="B12" s="6">
        <v>15</v>
      </c>
      <c r="C12" s="9" t="s">
        <v>109</v>
      </c>
      <c r="D12" s="9"/>
      <c r="E12" s="9"/>
    </row>
    <row r="13" spans="1:8" x14ac:dyDescent="0.4">
      <c r="A13" s="65" t="s">
        <v>6</v>
      </c>
      <c r="B13" s="6">
        <v>1.5</v>
      </c>
      <c r="C13" s="9" t="s">
        <v>109</v>
      </c>
      <c r="D13" s="9"/>
      <c r="E13" s="9"/>
    </row>
    <row r="14" spans="1:8" x14ac:dyDescent="0.4">
      <c r="A14" s="6"/>
      <c r="B14" s="6"/>
      <c r="C14" s="9"/>
      <c r="D14" s="9"/>
      <c r="E14" s="9"/>
    </row>
    <row r="15" spans="1:8" x14ac:dyDescent="0.4">
      <c r="A15" s="6" t="s">
        <v>0</v>
      </c>
      <c r="B15" s="6"/>
      <c r="C15" s="9"/>
      <c r="D15" s="9"/>
      <c r="E15" s="9"/>
    </row>
    <row r="16" spans="1:8" x14ac:dyDescent="0.4">
      <c r="A16" s="7" t="s">
        <v>7</v>
      </c>
      <c r="B16" s="6">
        <v>0.01</v>
      </c>
      <c r="C16" s="9"/>
      <c r="D16" s="9"/>
      <c r="E16" s="9"/>
    </row>
    <row r="17" spans="1:5" ht="14.7" x14ac:dyDescent="0.6">
      <c r="A17" s="6" t="s">
        <v>8</v>
      </c>
      <c r="B17" s="6">
        <f>-NORMSINV(B16/2)</f>
        <v>2.5758293035488999</v>
      </c>
      <c r="C17" s="9"/>
      <c r="D17" s="9"/>
      <c r="E17" s="9"/>
    </row>
    <row r="18" spans="1:5" x14ac:dyDescent="0.4">
      <c r="A18" s="6" t="s">
        <v>9</v>
      </c>
      <c r="B18" s="6"/>
      <c r="C18" s="9"/>
      <c r="D18" s="21">
        <f>B12-B17*B13/SQRT(B11)</f>
        <v>14.453584089684465</v>
      </c>
      <c r="E18" s="9"/>
    </row>
    <row r="19" spans="1:5" x14ac:dyDescent="0.4">
      <c r="A19" s="6" t="s">
        <v>10</v>
      </c>
      <c r="B19" s="6"/>
      <c r="C19" s="9"/>
      <c r="D19" s="21">
        <f>B12+B17*B13/SQRT(B11)</f>
        <v>15.546415910315535</v>
      </c>
      <c r="E19" s="9"/>
    </row>
    <row r="20" spans="1:5" x14ac:dyDescent="0.4">
      <c r="A20" s="12"/>
      <c r="B20" s="6"/>
      <c r="C20" s="9"/>
      <c r="D20" s="9"/>
      <c r="E20" s="9"/>
    </row>
    <row r="21" spans="1:5" x14ac:dyDescent="0.4">
      <c r="A21" s="12" t="s">
        <v>1</v>
      </c>
      <c r="B21" s="6"/>
      <c r="C21" s="9"/>
      <c r="D21" s="9"/>
      <c r="E21" s="9"/>
    </row>
    <row r="22" spans="1:5" x14ac:dyDescent="0.4">
      <c r="A22" s="6" t="s">
        <v>110</v>
      </c>
      <c r="B22" s="6"/>
      <c r="C22" s="21">
        <f>D19-D18</f>
        <v>1.0928318206310692</v>
      </c>
      <c r="D22" s="9"/>
      <c r="E22" s="9"/>
    </row>
    <row r="23" spans="1:5" x14ac:dyDescent="0.4">
      <c r="A23" s="6" t="s">
        <v>111</v>
      </c>
      <c r="B23" s="6"/>
      <c r="C23" s="4">
        <v>0.5</v>
      </c>
    </row>
    <row r="24" spans="1:5" ht="14.7" x14ac:dyDescent="0.6">
      <c r="A24" s="6" t="s">
        <v>112</v>
      </c>
      <c r="B24" s="3"/>
      <c r="C24" s="4">
        <f>C23</f>
        <v>0.5</v>
      </c>
    </row>
    <row r="25" spans="1:5" x14ac:dyDescent="0.4">
      <c r="A25" s="6" t="s">
        <v>4</v>
      </c>
      <c r="B25">
        <f>(2*B17*B13/C24)^2</f>
        <v>238.85627763676356</v>
      </c>
    </row>
    <row r="26" spans="1:5" x14ac:dyDescent="0.4">
      <c r="A26" s="6"/>
      <c r="B26" s="11"/>
    </row>
    <row r="27" spans="1:5" x14ac:dyDescent="0.4">
      <c r="A27" s="6" t="s">
        <v>2</v>
      </c>
      <c r="B27"/>
    </row>
    <row r="28" spans="1:5" x14ac:dyDescent="0.4">
      <c r="A28" s="6" t="s">
        <v>113</v>
      </c>
      <c r="B28" s="6">
        <v>16</v>
      </c>
    </row>
    <row r="29" spans="1:5" x14ac:dyDescent="0.4">
      <c r="A29" s="6" t="s">
        <v>120</v>
      </c>
      <c r="B29" s="6">
        <f>B28</f>
        <v>16</v>
      </c>
    </row>
    <row r="30" spans="1:5" x14ac:dyDescent="0.4">
      <c r="A30" s="6"/>
      <c r="B30" s="6"/>
    </row>
    <row r="31" spans="1:5" x14ac:dyDescent="0.4">
      <c r="A31" s="7" t="s">
        <v>7</v>
      </c>
      <c r="B31" s="6">
        <v>0.05</v>
      </c>
    </row>
    <row r="32" spans="1:5" ht="14.7" x14ac:dyDescent="0.6">
      <c r="A32" s="15" t="s">
        <v>114</v>
      </c>
      <c r="B32" s="6">
        <f>-NORMSINV(B31)</f>
        <v>1.6448536269514726</v>
      </c>
    </row>
    <row r="33" spans="1:3" x14ac:dyDescent="0.4">
      <c r="A33"/>
      <c r="B33"/>
    </row>
    <row r="34" spans="1:3" x14ac:dyDescent="0.4">
      <c r="A34" s="6" t="s">
        <v>12</v>
      </c>
      <c r="B34">
        <f>(B12-B28)/SQRT(B13^2/B11)</f>
        <v>-4.714045207910317</v>
      </c>
    </row>
    <row r="35" spans="1:3" x14ac:dyDescent="0.4">
      <c r="A35" s="6" t="s">
        <v>123</v>
      </c>
      <c r="B35"/>
    </row>
    <row r="37" spans="1:3" x14ac:dyDescent="0.4">
      <c r="A37" s="53" t="s">
        <v>13</v>
      </c>
    </row>
    <row r="38" spans="1:3" x14ac:dyDescent="0.4">
      <c r="A38" s="6" t="s">
        <v>115</v>
      </c>
      <c r="B38" s="9"/>
    </row>
    <row r="40" spans="1:3" x14ac:dyDescent="0.4">
      <c r="A40" s="53"/>
      <c r="C40" s="27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Foglio1</vt:lpstr>
      <vt:lpstr>Foglio2</vt:lpstr>
      <vt:lpstr>Foglio3</vt:lpstr>
      <vt:lpstr>Foglio4</vt:lpstr>
      <vt:lpstr>Foglio5</vt:lpstr>
      <vt:lpstr>Foglio6</vt:lpstr>
      <vt:lpstr>Foglio1!Area_stampa</vt:lpstr>
      <vt:lpstr>Foglio3!Area_stampa</vt:lpstr>
      <vt:lpstr>Foglio4!Area_stampa</vt:lpstr>
      <vt:lpstr>Foglio6!Area_stampa</vt:lpstr>
    </vt:vector>
  </TitlesOfParts>
  <Company>Università di Macerata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utente</cp:lastModifiedBy>
  <cp:lastPrinted>2010-12-01T13:54:57Z</cp:lastPrinted>
  <dcterms:created xsi:type="dcterms:W3CDTF">2010-11-23T22:03:56Z</dcterms:created>
  <dcterms:modified xsi:type="dcterms:W3CDTF">2022-12-20T11:23:02Z</dcterms:modified>
</cp:coreProperties>
</file>