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40214\"/>
    </mc:Choice>
  </mc:AlternateContent>
  <xr:revisionPtr revIDLastSave="0" documentId="13_ncr:1_{4FB2D47C-4145-4A19-9A82-C2B4B442ED7F}" xr6:coauthVersionLast="36" xr6:coauthVersionMax="36" xr10:uidLastSave="{00000000-0000-0000-0000-000000000000}"/>
  <bookViews>
    <workbookView xWindow="240" yWindow="36" windowWidth="15480" windowHeight="9720" activeTab="5" xr2:uid="{00000000-000D-0000-FFFF-FFFF00000000}"/>
  </bookViews>
  <sheets>
    <sheet name="Foglio1" sheetId="3" r:id="rId1"/>
    <sheet name="Foglio2" sheetId="7" r:id="rId2"/>
    <sheet name="Foglio3" sheetId="8" r:id="rId3"/>
    <sheet name="Foglio4" sheetId="5" r:id="rId4"/>
    <sheet name="Foglio5" sheetId="9" r:id="rId5"/>
    <sheet name="Foglio6" sheetId="4" r:id="rId6"/>
  </sheets>
  <definedNames>
    <definedName name="_xlnm.Print_Area" localSheetId="0">Foglio1!$A$1:$M$27</definedName>
    <definedName name="_xlnm.Print_Area" localSheetId="1">Foglio2!$A$1:$W$63</definedName>
    <definedName name="_xlnm.Print_Area" localSheetId="2">Foglio3!#REF!</definedName>
    <definedName name="_xlnm.Print_Area" localSheetId="3">Foglio4!$A$1:$S$41</definedName>
    <definedName name="_xlnm.Print_Area" localSheetId="4">Foglio5!#REF!</definedName>
    <definedName name="_xlnm.Print_Area" localSheetId="5">Foglio6!$A$1:$R$47</definedName>
  </definedNames>
  <calcPr calcId="191029"/>
</workbook>
</file>

<file path=xl/calcChain.xml><?xml version="1.0" encoding="utf-8"?>
<calcChain xmlns="http://schemas.openxmlformats.org/spreadsheetml/2006/main">
  <c r="B20" i="4" l="1"/>
  <c r="F26" i="8"/>
  <c r="E27" i="8" s="1"/>
  <c r="B33" i="9"/>
  <c r="E17" i="9"/>
  <c r="B24" i="7"/>
  <c r="B28" i="4" l="1"/>
  <c r="B29" i="4"/>
  <c r="B12" i="4"/>
  <c r="B31" i="7"/>
  <c r="B23" i="7"/>
  <c r="C13" i="7"/>
  <c r="D13" i="7"/>
  <c r="E13" i="7"/>
  <c r="F13" i="7"/>
  <c r="G13" i="7"/>
  <c r="H13" i="7"/>
  <c r="B13" i="7"/>
  <c r="C18" i="3"/>
  <c r="C19" i="3"/>
  <c r="C20" i="3"/>
  <c r="B19" i="3"/>
  <c r="B20" i="3"/>
  <c r="B18" i="3"/>
  <c r="D20" i="5" l="1"/>
  <c r="C12" i="5"/>
  <c r="B43" i="9"/>
  <c r="B31" i="9"/>
  <c r="B23" i="8" l="1"/>
  <c r="B18" i="8"/>
  <c r="B20" i="8" l="1"/>
  <c r="I27" i="8"/>
  <c r="G27" i="8"/>
  <c r="B42" i="9"/>
  <c r="B25" i="9"/>
  <c r="D33" i="9" s="1"/>
  <c r="B16" i="9"/>
  <c r="B14" i="9"/>
  <c r="B13" i="9"/>
  <c r="C36" i="9" s="1"/>
  <c r="B20" i="5"/>
  <c r="C21" i="5" s="1"/>
  <c r="E21" i="5" s="1"/>
  <c r="E12" i="5"/>
  <c r="G25" i="5" s="1"/>
  <c r="E18" i="7"/>
  <c r="F18" i="7"/>
  <c r="G18" i="7"/>
  <c r="H18" i="7"/>
  <c r="C18" i="7"/>
  <c r="D18" i="7"/>
  <c r="B18" i="7"/>
  <c r="I18" i="7" s="1"/>
  <c r="I13" i="7"/>
  <c r="C19" i="7" s="1"/>
  <c r="D15" i="7"/>
  <c r="E15" i="7"/>
  <c r="F15" i="7"/>
  <c r="G15" i="7"/>
  <c r="H15" i="7"/>
  <c r="B15" i="7"/>
  <c r="C14" i="7"/>
  <c r="C15" i="7" s="1"/>
  <c r="B14" i="7"/>
  <c r="C21" i="3"/>
  <c r="I18" i="3" s="1"/>
  <c r="B21" i="3"/>
  <c r="H19" i="3" s="1"/>
  <c r="D19" i="3"/>
  <c r="D20" i="3"/>
  <c r="D18" i="3"/>
  <c r="B16" i="5"/>
  <c r="E16" i="5" s="1"/>
  <c r="B14" i="4"/>
  <c r="B34" i="4" l="1"/>
  <c r="B22" i="4"/>
  <c r="E15" i="4"/>
  <c r="B26" i="9"/>
  <c r="K27" i="8"/>
  <c r="F19" i="7"/>
  <c r="F16" i="7"/>
  <c r="E16" i="7"/>
  <c r="C16" i="7"/>
  <c r="B16" i="7"/>
  <c r="D16" i="7"/>
  <c r="E19" i="7"/>
  <c r="H16" i="7"/>
  <c r="G16" i="7"/>
  <c r="I20" i="3"/>
  <c r="I21" i="3" s="1"/>
  <c r="H20" i="3"/>
  <c r="D21" i="3"/>
  <c r="B30" i="3" s="1"/>
  <c r="H18" i="3"/>
  <c r="H21" i="3" s="1"/>
  <c r="D26" i="5"/>
  <c r="B26" i="5"/>
  <c r="F26" i="5"/>
  <c r="C31" i="3"/>
  <c r="I31" i="3" s="1"/>
  <c r="B19" i="7"/>
  <c r="H19" i="7"/>
  <c r="G19" i="7"/>
  <c r="I19" i="3"/>
  <c r="D19" i="7"/>
  <c r="E16" i="4"/>
  <c r="C37" i="9"/>
  <c r="G36" i="9"/>
  <c r="G37" i="9" s="1"/>
  <c r="E18" i="9"/>
  <c r="F36" i="9"/>
  <c r="F37" i="9" s="1"/>
  <c r="E36" i="9"/>
  <c r="E37" i="9" s="1"/>
  <c r="D36" i="9"/>
  <c r="J18" i="3" l="1"/>
  <c r="J20" i="3"/>
  <c r="B29" i="3"/>
  <c r="B31" i="3"/>
  <c r="H31" i="3" s="1"/>
  <c r="J31" i="3" s="1"/>
  <c r="H30" i="3"/>
  <c r="C29" i="3"/>
  <c r="I29" i="3" s="1"/>
  <c r="C30" i="3"/>
  <c r="I30" i="3" s="1"/>
  <c r="J30" i="3" s="1"/>
  <c r="I32" i="3"/>
  <c r="H29" i="3"/>
  <c r="J19" i="3"/>
  <c r="B20" i="7"/>
  <c r="C20" i="7" s="1"/>
  <c r="I19" i="7"/>
  <c r="D31" i="3"/>
  <c r="H26" i="5"/>
  <c r="D37" i="9"/>
  <c r="H37" i="9" s="1"/>
  <c r="B38" i="9" s="1"/>
  <c r="B44" i="9" s="1"/>
  <c r="B32" i="3" l="1"/>
  <c r="J21" i="3"/>
  <c r="J29" i="3"/>
  <c r="H32" i="3"/>
  <c r="J32" i="3" s="1"/>
  <c r="C32" i="3"/>
  <c r="D30" i="3"/>
  <c r="D29" i="3"/>
  <c r="D20" i="7"/>
  <c r="E20" i="7" s="1"/>
  <c r="C27" i="7" s="1"/>
  <c r="D32" i="3" l="1"/>
  <c r="C35" i="3"/>
  <c r="C36" i="3"/>
  <c r="F20" i="7"/>
  <c r="G20" i="7" s="1"/>
  <c r="H20" i="7" s="1"/>
  <c r="E27" i="7"/>
</calcChain>
</file>

<file path=xl/sharedStrings.xml><?xml version="1.0" encoding="utf-8"?>
<sst xmlns="http://schemas.openxmlformats.org/spreadsheetml/2006/main" count="218" uniqueCount="135">
  <si>
    <t>a)</t>
  </si>
  <si>
    <t>b)</t>
  </si>
  <si>
    <t>n =</t>
  </si>
  <si>
    <t>xm =</t>
  </si>
  <si>
    <t>a =</t>
  </si>
  <si>
    <t xml:space="preserve">Estremo inferiore dell'intervallo = </t>
  </si>
  <si>
    <t xml:space="preserve">Estremo superiore dell'intervallo = </t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</si>
  <si>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</si>
  <si>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c)</t>
  </si>
  <si>
    <t xml:space="preserve">a) </t>
  </si>
  <si>
    <t>d)</t>
  </si>
  <si>
    <t>=</t>
  </si>
  <si>
    <t>p =</t>
  </si>
  <si>
    <t>1-a =</t>
  </si>
  <si>
    <t xml:space="preserve">A = 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</si>
  <si>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</si>
  <si>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statistica test =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</si>
  <si>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</rPr>
      <t xml:space="preserve">: </t>
    </r>
    <r>
      <rPr>
        <sz val="10"/>
        <rFont val="Symbol"/>
        <family val="1"/>
        <charset val="2"/>
      </rPr>
      <t>p</t>
    </r>
    <r>
      <rPr>
        <sz val="10"/>
        <rFont val="Arial"/>
      </rPr>
      <t xml:space="preserve"> = </t>
    </r>
  </si>
  <si>
    <t>p-value =</t>
  </si>
  <si>
    <t>)=</t>
  </si>
  <si>
    <t>mediana =</t>
  </si>
  <si>
    <t>+</t>
  </si>
  <si>
    <r>
      <t xml:space="preserve">e </t>
    </r>
    <r>
      <rPr>
        <sz val="10"/>
        <rFont val="Symbol"/>
        <family val="1"/>
        <charset val="2"/>
      </rPr>
      <t>p</t>
    </r>
    <r>
      <rPr>
        <sz val="10"/>
        <rFont val="Arial"/>
      </rPr>
      <t xml:space="preserve"> =</t>
    </r>
  </si>
  <si>
    <t>Y è una v.a. binomiale di parametri n=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</si>
  <si>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</rPr>
      <t xml:space="preserve">: </t>
    </r>
    <r>
      <rPr>
        <sz val="10"/>
        <rFont val="Symbol"/>
        <family val="1"/>
        <charset val="2"/>
      </rPr>
      <t>m</t>
    </r>
    <r>
      <rPr>
        <sz val="10"/>
        <rFont val="Arial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</si>
  <si>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: </t>
    </r>
    <r>
      <rPr>
        <sz val="10"/>
        <rFont val="Symbol"/>
        <family val="1"/>
        <charset val="2"/>
      </rPr>
      <t>m</t>
    </r>
    <r>
      <rPr>
        <sz val="10"/>
        <rFont val="Arial"/>
      </rPr>
      <t xml:space="preserve"> &gt; </t>
    </r>
  </si>
  <si>
    <t>Totale</t>
  </si>
  <si>
    <t>P(A) =</t>
  </si>
  <si>
    <t>I dati contengono sufficiente evidenza per rifiutare l'ipotesi nulla.</t>
  </si>
  <si>
    <t xml:space="preserve">X è una v.a. normale di parametri </t>
  </si>
  <si>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= </t>
    </r>
  </si>
  <si>
    <r>
      <rPr>
        <sz val="10"/>
        <rFont val="Symbol"/>
        <family val="1"/>
        <charset val="2"/>
      </rPr>
      <t>s</t>
    </r>
    <r>
      <rPr>
        <sz val="10"/>
        <rFont val="Arial"/>
      </rPr>
      <t xml:space="preserve"> =</t>
    </r>
  </si>
  <si>
    <t>) =</t>
  </si>
  <si>
    <r>
      <t>P(X&lt;=x) = P(Z&lt;=(x-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"/>
        <family val="2"/>
      </rPr>
      <t>)/</t>
    </r>
    <r>
      <rPr>
        <sz val="10"/>
        <color indexed="8"/>
        <rFont val="Symbol"/>
        <family val="1"/>
        <charset val="2"/>
      </rPr>
      <t>s</t>
    </r>
    <r>
      <rPr>
        <sz val="10"/>
        <color indexed="8"/>
        <rFont val="Arial"/>
        <family val="2"/>
      </rPr>
      <t>) =</t>
    </r>
  </si>
  <si>
    <r>
      <t>(x-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"/>
        <family val="2"/>
      </rPr>
      <t>)/</t>
    </r>
    <r>
      <rPr>
        <sz val="10"/>
        <color indexed="8"/>
        <rFont val="Symbol"/>
        <family val="1"/>
        <charset val="2"/>
      </rPr>
      <t>s</t>
    </r>
    <r>
      <rPr>
        <sz val="10"/>
        <color indexed="8"/>
        <rFont val="Arial"/>
        <family val="2"/>
      </rPr>
      <t xml:space="preserve"> =</t>
    </r>
  </si>
  <si>
    <t>x =</t>
  </si>
  <si>
    <t>Xm è una normale con parametri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</si>
  <si>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</rPr>
      <t xml:space="preserve">: </t>
    </r>
    <r>
      <rPr>
        <sz val="10"/>
        <rFont val="Symbol"/>
        <family val="1"/>
        <charset val="2"/>
      </rPr>
      <t>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Arial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</si>
  <si>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: </t>
    </r>
    <r>
      <rPr>
        <sz val="10"/>
        <rFont val="Symbol"/>
        <family val="1"/>
        <charset val="2"/>
      </rPr>
      <t>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Arial"/>
      </rPr>
      <t xml:space="preserve"> </t>
    </r>
    <r>
      <rPr>
        <sz val="10"/>
        <rFont val="Calibri"/>
        <family val="2"/>
      </rPr>
      <t>≠</t>
    </r>
    <r>
      <rPr>
        <sz val="10"/>
        <rFont val="Arial"/>
      </rPr>
      <t xml:space="preserve"> 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</si>
  <si>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</si>
  <si>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</si>
  <si>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scarti dalla media</t>
  </si>
  <si>
    <t>scarti al quadrato</t>
  </si>
  <si>
    <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 </t>
    </r>
  </si>
  <si>
    <t xml:space="preserve">Non possiamo rifiutare l'ipotesi nulla. </t>
  </si>
  <si>
    <t>viaggio di vacanza</t>
  </si>
  <si>
    <t>viaggio di lavoro</t>
  </si>
  <si>
    <t>Destinazione principale</t>
  </si>
  <si>
    <t xml:space="preserve">  Nord</t>
  </si>
  <si>
    <t xml:space="preserve">  Sud, Isole</t>
  </si>
  <si>
    <t xml:space="preserve">  Centro</t>
  </si>
  <si>
    <t>Tipo di vacanza</t>
  </si>
  <si>
    <t>a) Si calcolino le distribuzioni rispetto al carattere "Destinazione", condizionate al "Tipo di vacanza".</t>
  </si>
  <si>
    <t>b) Sulla base del punto a), i due caratteri sono indipendenti? Motivare la risposta.</t>
  </si>
  <si>
    <t>c) Si calcoli un opportuno indice di associazione tra le due variabili e si commenti il risultato.</t>
  </si>
  <si>
    <t>d) Si utilizzi un grafico a barre adiacenti per rappresentare le due distribuzioni calcolate al punto a) e si commenti il risultato.</t>
  </si>
  <si>
    <t>Essendo le distribuzioni condizionate diverse tra loro e diverse dalla distribuzione marginale, possiamo concludere che i due caratteri non sono indipendenti</t>
  </si>
  <si>
    <t>Indice Chi-quadro =</t>
  </si>
  <si>
    <t>Indice di Cramer =</t>
  </si>
  <si>
    <t>Associazione molto bassa</t>
  </si>
  <si>
    <t>Per chi viaggia per lavoro, la destinazione principale è il nord, seguito dal centro e infine dal sud e isole.</t>
  </si>
  <si>
    <t>Per chi viaggia per vacanze, la destinazione principale resta il nord, seguita però dal sud e isole, mentre il centro viene scelto da una minoranza di viaggiatori per vacanze (poco più del 20%).</t>
  </si>
  <si>
    <t>Prezzo</t>
  </si>
  <si>
    <t>Numero di opere</t>
  </si>
  <si>
    <t>da 0 a 5 euro</t>
  </si>
  <si>
    <t>da 5 a 10 euro</t>
  </si>
  <si>
    <t>da 40 a 50 euro</t>
  </si>
  <si>
    <t>da 50 a 100 euro</t>
  </si>
  <si>
    <t>da 10 a 20 euro</t>
  </si>
  <si>
    <t>da 20 a 30 euro</t>
  </si>
  <si>
    <t>da 30 a 40 euro</t>
  </si>
  <si>
    <t>a) Si disegni l'istogramma per rappresentare la distribuzione per fasce di prezzo</t>
  </si>
  <si>
    <t>b) Si calcoli il prezzo medio e il prezzo mediano, si confrontino i valori e si commenti il risultato.</t>
  </si>
  <si>
    <t>c) Si calcoli la percentuale di opere pubblicate con costo superiore ai 37 euro.</t>
  </si>
  <si>
    <t>Ampiezza classi</t>
  </si>
  <si>
    <t>Densità assoluta</t>
  </si>
  <si>
    <t>Densità relativa</t>
  </si>
  <si>
    <t>Valore centrale</t>
  </si>
  <si>
    <t>xi*ni</t>
  </si>
  <si>
    <t>media =</t>
  </si>
  <si>
    <t>fi</t>
  </si>
  <si>
    <t>Fi</t>
  </si>
  <si>
    <t>La media è maggiore della mediana essendo influenzata dai valori molto alti</t>
  </si>
  <si>
    <t>1-F(37) =</t>
  </si>
  <si>
    <t>1-</t>
  </si>
  <si>
    <t>d) Si calcoli il prezzo al di sotto del quale troviamo il 60% delle opere pubblicate</t>
  </si>
  <si>
    <t>F(x) = 0,6</t>
  </si>
  <si>
    <t>Le vendite giornaliere di un certo punto vendita possono considerarsi distribuite in maniera normale,</t>
  </si>
  <si>
    <t>a. Quale è la probabilità che in un determinato giorno le vendite superino i 3000 euro?</t>
  </si>
  <si>
    <t>b. Qual è quel  valore delle vendite al di sotto del quale si scende nel 30% dei giorni ? </t>
  </si>
  <si>
    <t>c. Qual è la probabilità che in 5 giorni le vendite totali superino i 10000 euro?</t>
  </si>
  <si>
    <t>d. Qual è la probabilità che su 5 giorni, al massimo due volte si osservino vendite superiori ai 3000 euro ?</t>
  </si>
  <si>
    <t>X = {Vendite}</t>
  </si>
  <si>
    <t>P(X&gt;3000) = P(Z&gt;</t>
  </si>
  <si>
    <t>Xt = (X1+…+X5)</t>
  </si>
  <si>
    <t>P(Xt&gt;10000) = P(Z&gt;</t>
  </si>
  <si>
    <t>Y = {Numero di giorni su 5 con vendite superiori a 3000 euro}</t>
  </si>
  <si>
    <t>P(Y&lt;3) =</t>
  </si>
  <si>
    <t>In una certa raffineria, negli ultimi mesi, sono state registrate le seguenti emissioni di CO2 (in migliaia di tonnellate).</t>
  </si>
  <si>
    <t>a) Costruire un intervallo di confidenza al 99% per la produzione media mensile di CO2 della raffineria.</t>
  </si>
  <si>
    <t>d) Si verifichi l'ipotesi che la deviazione standard della produzione sia pari a 6 mila tonnellate, contro l'alternativa che sia diversa, al livello dell'1%.</t>
  </si>
  <si>
    <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</si>
  <si>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</si>
  <si>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t>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Symbol"/>
        <family val="1"/>
        <charset val="2"/>
      </rPr>
      <t xml:space="preserve"> =</t>
    </r>
  </si>
  <si>
    <t>c) Calcolare la potenza del test nell’ipotesi che la produzione media effettiva sia 210 mila tonnellate e la deviazione standard di 6 mila tonnellate.</t>
  </si>
  <si>
    <t>P(Z&gt;</t>
  </si>
  <si>
    <t>a) Costruire un intervallo di confidenza al 95% per la proporzione di popolazione che ha acquistato almeno una volta il prodotto.</t>
  </si>
  <si>
    <t xml:space="preserve">b) Considerando un livello del 99%, quante persone bisognerebbe estrarre </t>
  </si>
  <si>
    <t xml:space="preserve">per avere un intervallo di ampiezza non superiore a 0,05? </t>
  </si>
  <si>
    <t>d) Si calcoli il p-value per la verifica delle ipotesi di cui al punto c), spiegando cosa sia il p-value.</t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</si>
  <si>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: </t>
    </r>
    <r>
      <rPr>
        <sz val="10"/>
        <rFont val="Symbol"/>
        <family val="1"/>
        <charset val="2"/>
      </rPr>
      <t>p</t>
    </r>
    <r>
      <rPr>
        <sz val="10"/>
        <rFont val="Arial"/>
      </rPr>
      <t xml:space="preserve"> &lt;</t>
    </r>
  </si>
  <si>
    <t>Il 54% della popolazione ha meno di 40 anni.</t>
  </si>
  <si>
    <t>a) Qual è la probabilità che una persona scelta a caso abbia votato per il partito A? </t>
  </si>
  <si>
    <t>b) Qual è la probabilità che, avendo estratto una persona che non ha votato per A, questa abbia più di 40 anni?</t>
  </si>
  <si>
    <t>c) Qual è la probabilità di estrarre una persona con meno di 40 anni e che non abbia votato per A?</t>
  </si>
  <si>
    <t>d) Se si estraggono 10 persone a caso, qual è la probabilità di osservarne almeno 8 che abbiano votato per A?</t>
  </si>
  <si>
    <t>M = {persona con meno di 40 anni}</t>
  </si>
  <si>
    <t>A = {persona che ha votato per A}</t>
  </si>
  <si>
    <t>P(A|M) =</t>
  </si>
  <si>
    <r>
      <t>P(A|M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) =</t>
    </r>
  </si>
  <si>
    <t>P(M) =</t>
  </si>
  <si>
    <r>
      <t>P(M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|A</t>
    </r>
    <r>
      <rPr>
        <vertAlign val="superscript"/>
        <sz val="10"/>
        <rFont val="Arial"/>
        <family val="2"/>
      </rPr>
      <t>c</t>
    </r>
    <r>
      <rPr>
        <sz val="10"/>
        <rFont val="Calibri"/>
        <family val="2"/>
      </rPr>
      <t>)</t>
    </r>
    <r>
      <rPr>
        <sz val="10"/>
        <rFont val="Arial"/>
        <family val="2"/>
      </rPr>
      <t xml:space="preserve"> =</t>
    </r>
  </si>
  <si>
    <r>
      <t>P(A</t>
    </r>
    <r>
      <rPr>
        <vertAlign val="superscript"/>
        <sz val="10"/>
        <rFont val="Arial"/>
        <family val="2"/>
      </rPr>
      <t>c</t>
    </r>
    <r>
      <rPr>
        <sz val="10"/>
        <rFont val="Calibri"/>
        <family val="2"/>
      </rPr>
      <t>∩M)</t>
    </r>
    <r>
      <rPr>
        <sz val="10"/>
        <rFont val="Arial"/>
        <family val="2"/>
      </rPr>
      <t xml:space="preserve"> =</t>
    </r>
  </si>
  <si>
    <t>X è una v.a. binomiale di parametri n=10 e p=</t>
  </si>
  <si>
    <r>
      <t>P(X</t>
    </r>
    <r>
      <rPr>
        <sz val="10"/>
        <color indexed="8"/>
        <rFont val="Calibri"/>
        <family val="2"/>
      </rPr>
      <t>&gt;</t>
    </r>
    <r>
      <rPr>
        <sz val="10"/>
        <color indexed="8"/>
        <rFont val="Arial"/>
        <family val="2"/>
      </rPr>
      <t>7) = P(X=8)+P(X=9)+P(X=10)=</t>
    </r>
  </si>
  <si>
    <r>
      <t>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</si>
  <si>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La tabella sottostante riporta la distribuzione degli italiani che hanno viaggiato in Italia nel 2023 per destinazione e tipologia di viaggio.</t>
  </si>
  <si>
    <t>I dati sottostanti riportano il numero di opere librarie pubblicate nel 2023 in Italia:</t>
  </si>
  <si>
    <t xml:space="preserve">Il 25% della popolazione al di sotto dei 40 anni ha votato il partito A alle ultime elezioni. </t>
  </si>
  <si>
    <t>Della popolazione sopra i 40 anni, è stato il 38% a votare per il partito A.</t>
  </si>
  <si>
    <t>con media pari a 2800 euro e deviazione standard pari a 400 euro.</t>
  </si>
  <si>
    <t>b) Sottoporre a test l’ipotesi che la produzione media sia pari a 200 mila tonnellate, contro l'alternativa che sia maggiore (alfa = 5% ).</t>
  </si>
  <si>
    <t>In un campione di 450 persone, 180 dichiarano di aver acquistato almeno una volta un determinato prodotto.</t>
  </si>
  <si>
    <t>c) Si verifichi l'ipotesi che la proporzione di popolazione che ha acquistato almeno una volta il prodotto sia del 50%, contro l'alternativa che sia inferiore, al livello di significatività del 10%</t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</si>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</sst>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2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sz val="12"/>
      <name val="Arial"/>
      <family val="2"/>
    </font>
    <font>
      <vertAlign val="subscript"/>
      <sz val="10"/>
      <name val="Symbol"/>
      <family val="1"/>
      <charset val="2"/>
    </font>
    <font>
      <sz val="12"/>
      <color indexed="8"/>
      <name val="Arial"/>
      <family val="2"/>
    </font>
    <font>
      <b/>
      <sz val="10"/>
      <color indexed="10"/>
      <name val="Symbol"/>
      <family val="1"/>
      <charset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Symbol"/>
      <family val="1"/>
      <charset val="2"/>
    </font>
    <font>
      <vertAlign val="superscript"/>
      <sz val="10"/>
      <name val="Symbol"/>
      <family val="1"/>
      <charset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sz val="8"/>
      <color indexed="9"/>
      <name val="Verdana"/>
      <family val="2"/>
    </font>
    <font>
      <sz val="10"/>
      <color indexed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solid">
        <fgColor rgb="FFF0F8F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4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3" applyNumberFormat="0" applyAlignment="0" applyProtection="0"/>
    <xf numFmtId="0" fontId="24" fillId="0" borderId="4" applyNumberFormat="0" applyFill="0" applyAlignment="0" applyProtection="0"/>
    <xf numFmtId="0" fontId="25" fillId="21" borderId="5" applyNumberFormat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6" fillId="28" borderId="3" applyNumberFormat="0" applyAlignment="0" applyProtection="0"/>
    <xf numFmtId="0" fontId="27" fillId="29" borderId="0" applyNumberFormat="0" applyBorder="0" applyAlignment="0" applyProtection="0"/>
    <xf numFmtId="0" fontId="28" fillId="20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31" borderId="0" applyNumberFormat="0" applyBorder="0" applyAlignment="0" applyProtection="0"/>
    <xf numFmtId="0" fontId="36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21" fillId="30" borderId="6" applyNumberFormat="0" applyFont="0" applyAlignment="0" applyProtection="0"/>
  </cellStyleXfs>
  <cellXfs count="88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Border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0" fillId="0" borderId="0" xfId="0" quotePrefix="1"/>
    <xf numFmtId="1" fontId="0" fillId="0" borderId="0" xfId="0" applyNumberFormat="1"/>
    <xf numFmtId="0" fontId="6" fillId="0" borderId="0" xfId="0" applyFont="1" applyBorder="1"/>
    <xf numFmtId="0" fontId="4" fillId="0" borderId="0" xfId="0" applyFont="1" applyBorder="1"/>
    <xf numFmtId="0" fontId="1" fillId="0" borderId="0" xfId="0" applyFont="1" applyAlignment="1"/>
    <xf numFmtId="0" fontId="8" fillId="0" borderId="0" xfId="0" applyFont="1"/>
    <xf numFmtId="0" fontId="6" fillId="0" borderId="0" xfId="0" applyFont="1" applyAlignment="1"/>
    <xf numFmtId="0" fontId="4" fillId="0" borderId="0" xfId="0" quotePrefix="1" applyFont="1" applyBorder="1"/>
    <xf numFmtId="0" fontId="8" fillId="0" borderId="0" xfId="0" applyFont="1" applyBorder="1"/>
    <xf numFmtId="0" fontId="4" fillId="0" borderId="1" xfId="0" applyFont="1" applyBorder="1"/>
    <xf numFmtId="0" fontId="0" fillId="0" borderId="0" xfId="0" applyFill="1" applyBorder="1"/>
    <xf numFmtId="165" fontId="6" fillId="0" borderId="0" xfId="0" applyNumberFormat="1" applyFont="1" applyBorder="1"/>
    <xf numFmtId="0" fontId="9" fillId="0" borderId="0" xfId="0" applyFont="1" applyBorder="1"/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8" fillId="0" borderId="0" xfId="0" applyFont="1" applyFill="1" applyBorder="1"/>
    <xf numFmtId="0" fontId="11" fillId="0" borderId="0" xfId="0" applyFont="1" applyAlignment="1"/>
    <xf numFmtId="0" fontId="11" fillId="0" borderId="0" xfId="0" quotePrefix="1" applyFont="1"/>
    <xf numFmtId="0" fontId="0" fillId="0" borderId="0" xfId="0" applyAlignment="1">
      <alignment wrapText="1"/>
    </xf>
    <xf numFmtId="0" fontId="12" fillId="0" borderId="0" xfId="0" applyFont="1"/>
    <xf numFmtId="164" fontId="8" fillId="0" borderId="0" xfId="0" applyNumberFormat="1" applyFont="1"/>
    <xf numFmtId="164" fontId="0" fillId="0" borderId="0" xfId="0" applyNumberFormat="1"/>
    <xf numFmtId="0" fontId="0" fillId="0" borderId="2" xfId="0" applyBorder="1"/>
    <xf numFmtId="0" fontId="4" fillId="0" borderId="0" xfId="0" applyFont="1" applyFill="1"/>
    <xf numFmtId="0" fontId="6" fillId="0" borderId="0" xfId="0" applyFont="1" applyAlignment="1">
      <alignment wrapText="1"/>
    </xf>
    <xf numFmtId="0" fontId="6" fillId="0" borderId="0" xfId="0" applyFont="1" applyFill="1"/>
    <xf numFmtId="0" fontId="11" fillId="0" borderId="0" xfId="0" applyFont="1" applyBorder="1" applyAlignment="1"/>
    <xf numFmtId="0" fontId="11" fillId="0" borderId="0" xfId="0" applyFont="1" applyFill="1" applyBorder="1" applyAlignment="1"/>
    <xf numFmtId="0" fontId="6" fillId="0" borderId="0" xfId="0" applyFont="1" applyFill="1" applyBorder="1"/>
    <xf numFmtId="0" fontId="0" fillId="0" borderId="0" xfId="0" quotePrefix="1" applyBorder="1" applyAlignment="1">
      <alignment horizontal="center"/>
    </xf>
    <xf numFmtId="0" fontId="15" fillId="0" borderId="0" xfId="0" applyFont="1" applyBorder="1"/>
    <xf numFmtId="0" fontId="15" fillId="0" borderId="0" xfId="0" applyFont="1" applyFill="1" applyBorder="1"/>
    <xf numFmtId="0" fontId="4" fillId="0" borderId="0" xfId="0" quotePrefix="1" applyFont="1" applyAlignment="1">
      <alignment horizontal="right"/>
    </xf>
    <xf numFmtId="0" fontId="6" fillId="0" borderId="0" xfId="0" quotePrefix="1" applyFont="1" applyAlignment="1">
      <alignment horizontal="right"/>
    </xf>
    <xf numFmtId="0" fontId="8" fillId="0" borderId="0" xfId="0" applyFont="1" applyAlignment="1"/>
    <xf numFmtId="0" fontId="8" fillId="0" borderId="0" xfId="0" quotePrefix="1" applyFont="1"/>
    <xf numFmtId="164" fontId="6" fillId="0" borderId="0" xfId="0" applyNumberFormat="1" applyFont="1" applyBorder="1"/>
    <xf numFmtId="1" fontId="8" fillId="0" borderId="0" xfId="0" applyNumberFormat="1" applyFont="1"/>
    <xf numFmtId="0" fontId="8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164" fontId="0" fillId="0" borderId="0" xfId="0" applyNumberFormat="1" applyBorder="1"/>
    <xf numFmtId="0" fontId="3" fillId="0" borderId="0" xfId="0" quotePrefix="1" applyFont="1" applyBorder="1" applyAlignment="1">
      <alignment horizontal="center"/>
    </xf>
    <xf numFmtId="16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3" fillId="0" borderId="0" xfId="0" applyFont="1" applyFill="1"/>
    <xf numFmtId="0" fontId="37" fillId="0" borderId="0" xfId="0" applyFont="1"/>
    <xf numFmtId="0" fontId="0" fillId="0" borderId="0" xfId="0" applyFill="1" applyBorder="1" applyAlignment="1"/>
    <xf numFmtId="0" fontId="6" fillId="0" borderId="0" xfId="0" applyFont="1" applyFill="1" applyAlignment="1"/>
    <xf numFmtId="0" fontId="0" fillId="0" borderId="0" xfId="0" applyFill="1" applyAlignment="1"/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 applyAlignment="1"/>
    <xf numFmtId="0" fontId="13" fillId="34" borderId="12" xfId="0" applyFont="1" applyFill="1" applyBorder="1" applyAlignment="1">
      <alignment wrapText="1"/>
    </xf>
    <xf numFmtId="0" fontId="41" fillId="33" borderId="12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vertical="top" wrapText="1"/>
    </xf>
    <xf numFmtId="0" fontId="3" fillId="0" borderId="12" xfId="0" applyNumberFormat="1" applyFont="1" applyBorder="1" applyAlignment="1">
      <alignment horizontal="right"/>
    </xf>
    <xf numFmtId="0" fontId="3" fillId="35" borderId="12" xfId="0" applyNumberFormat="1" applyFont="1" applyFill="1" applyBorder="1" applyAlignment="1">
      <alignment horizontal="right"/>
    </xf>
    <xf numFmtId="0" fontId="37" fillId="0" borderId="0" xfId="0" applyFont="1" applyFill="1" applyAlignment="1"/>
    <xf numFmtId="0" fontId="37" fillId="0" borderId="0" xfId="0" applyFont="1" applyFill="1" applyBorder="1" applyAlignment="1">
      <alignment vertical="top"/>
    </xf>
    <xf numFmtId="0" fontId="37" fillId="0" borderId="0" xfId="0" applyFont="1" applyFill="1" applyBorder="1" applyAlignment="1"/>
    <xf numFmtId="0" fontId="37" fillId="0" borderId="0" xfId="0" applyFont="1" applyFill="1" applyAlignment="1">
      <alignment horizontal="left"/>
    </xf>
    <xf numFmtId="0" fontId="38" fillId="0" borderId="0" xfId="0" applyFont="1" applyFill="1" applyAlignme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38" fillId="0" borderId="0" xfId="0" applyFont="1" applyFill="1" applyBorder="1"/>
    <xf numFmtId="0" fontId="3" fillId="0" borderId="0" xfId="0" applyFont="1" applyAlignment="1">
      <alignment wrapText="1"/>
    </xf>
    <xf numFmtId="0" fontId="38" fillId="0" borderId="0" xfId="0" applyFont="1"/>
    <xf numFmtId="16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3" fillId="0" borderId="0" xfId="0" quotePrefix="1" applyFont="1" applyBorder="1"/>
    <xf numFmtId="0" fontId="0" fillId="0" borderId="0" xfId="0"/>
    <xf numFmtId="0" fontId="40" fillId="33" borderId="12" xfId="0" applyFont="1" applyFill="1" applyBorder="1" applyAlignment="1">
      <alignment horizontal="center" vertical="top" wrapText="1"/>
    </xf>
    <xf numFmtId="0" fontId="2" fillId="0" borderId="12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 customBuiltin="1"/>
    <cellStyle name="Nota 2" xfId="41" xr:uid="{00000000-0005-0000-0000-00001E000000}"/>
    <cellStyle name="Output" xfId="30" builtinId="21" customBuiltin="1"/>
    <cellStyle name="Testo avviso" xfId="31" builtinId="11" customBuiltin="1"/>
    <cellStyle name="Testo descrittivo" xfId="32" builtinId="53" customBuiltin="1"/>
    <cellStyle name="Titolo 1" xfId="33" builtinId="16" customBuiltin="1"/>
    <cellStyle name="Titolo 2" xfId="34" builtinId="17" customBuiltin="1"/>
    <cellStyle name="Titolo 3" xfId="35" builtinId="18" customBuiltin="1"/>
    <cellStyle name="Titolo 4" xfId="36" builtinId="19" customBuiltin="1"/>
    <cellStyle name="Titolo 5" xfId="40" xr:uid="{00000000-0005-0000-0000-000026000000}"/>
    <cellStyle name="Totale" xfId="37" builtinId="25" customBuiltin="1"/>
    <cellStyle name="Valore non valido" xfId="38" builtinId="27" customBuiltin="1"/>
    <cellStyle name="Valore valido" xfId="3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Destinazione per tipologia di viaggio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Viaggi di lavoro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Foglio1!$G$18:$G$20</c:f>
              <c:strCache>
                <c:ptCount val="3"/>
                <c:pt idx="0">
                  <c:v>  Nord</c:v>
                </c:pt>
                <c:pt idx="1">
                  <c:v>  Centro</c:v>
                </c:pt>
                <c:pt idx="2">
                  <c:v>  Sud, Isole</c:v>
                </c:pt>
              </c:strCache>
            </c:strRef>
          </c:cat>
          <c:val>
            <c:numRef>
              <c:f>Foglio1!$I$18:$I$20</c:f>
              <c:numCache>
                <c:formatCode>General</c:formatCode>
                <c:ptCount val="3"/>
                <c:pt idx="0">
                  <c:v>0.49064117881322183</c:v>
                </c:pt>
                <c:pt idx="1">
                  <c:v>0.311031461569096</c:v>
                </c:pt>
                <c:pt idx="2">
                  <c:v>0.19832735961768219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B-4045-8D65-B87C07284603}"/>
            </c:ext>
          </c:extLst>
        </c:ser>
        <c:ser>
          <c:idx val="1"/>
          <c:order val="1"/>
          <c:tx>
            <c:v>Viaggi di vacanza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Foglio1!$G$18:$G$20</c:f>
              <c:strCache>
                <c:ptCount val="3"/>
                <c:pt idx="0">
                  <c:v>  Nord</c:v>
                </c:pt>
                <c:pt idx="1">
                  <c:v>  Centro</c:v>
                </c:pt>
                <c:pt idx="2">
                  <c:v>  Sud, Isole</c:v>
                </c:pt>
              </c:strCache>
            </c:strRef>
          </c:cat>
          <c:val>
            <c:numRef>
              <c:f>Foglio1!$H$18:$H$20</c:f>
              <c:numCache>
                <c:formatCode>General</c:formatCode>
                <c:ptCount val="3"/>
                <c:pt idx="0">
                  <c:v>0.40776077724125892</c:v>
                </c:pt>
                <c:pt idx="1">
                  <c:v>0.23328873116528012</c:v>
                </c:pt>
                <c:pt idx="2">
                  <c:v>0.35895049159346093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B-4045-8D65-B87C0728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870736"/>
        <c:axId val="-25872368"/>
      </c:barChart>
      <c:catAx>
        <c:axId val="-2587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25872368"/>
        <c:crosses val="autoZero"/>
        <c:auto val="1"/>
        <c:lblAlgn val="ctr"/>
        <c:lblOffset val="100"/>
        <c:noMultiLvlLbl val="0"/>
      </c:catAx>
      <c:valAx>
        <c:axId val="-2587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2587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36</xdr:row>
      <xdr:rowOff>99060</xdr:rowOff>
    </xdr:from>
    <xdr:to>
      <xdr:col>7</xdr:col>
      <xdr:colOff>388620</xdr:colOff>
      <xdr:row>52</xdr:row>
      <xdr:rowOff>160020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opLeftCell="A14" zoomScaleNormal="100" workbookViewId="0">
      <selection activeCell="B37" sqref="B37"/>
    </sheetView>
  </sheetViews>
  <sheetFormatPr defaultColWidth="9.109375" defaultRowHeight="12.3" x14ac:dyDescent="0.4"/>
  <cols>
    <col min="1" max="1" width="9.109375" style="3"/>
    <col min="2" max="2" width="11.5546875" style="3" customWidth="1"/>
    <col min="3" max="16384" width="9.109375" style="3"/>
  </cols>
  <sheetData>
    <row r="1" spans="1:10" x14ac:dyDescent="0.4">
      <c r="A1" s="2" t="s">
        <v>126</v>
      </c>
      <c r="B1" s="2"/>
      <c r="C1" s="2"/>
      <c r="D1" s="2"/>
    </row>
    <row r="2" spans="1:10" x14ac:dyDescent="0.4">
      <c r="A2" s="2"/>
      <c r="B2" s="2"/>
      <c r="C2" s="2"/>
      <c r="D2" s="2"/>
    </row>
    <row r="3" spans="1:10" s="49" customFormat="1" x14ac:dyDescent="0.4">
      <c r="A3" s="2"/>
      <c r="B3" s="85" t="s">
        <v>51</v>
      </c>
      <c r="C3" s="86"/>
      <c r="D3" s="2"/>
    </row>
    <row r="4" spans="1:10" s="49" customFormat="1" ht="49.2" x14ac:dyDescent="0.4">
      <c r="A4" s="64" t="s">
        <v>47</v>
      </c>
      <c r="B4" s="65" t="s">
        <v>45</v>
      </c>
      <c r="C4" s="65" t="s">
        <v>46</v>
      </c>
      <c r="D4" s="2"/>
      <c r="E4" s="10"/>
      <c r="F4" s="23"/>
      <c r="G4" s="23"/>
      <c r="H4" s="23"/>
    </row>
    <row r="5" spans="1:10" s="49" customFormat="1" x14ac:dyDescent="0.4">
      <c r="A5" s="66" t="s">
        <v>48</v>
      </c>
      <c r="B5" s="67">
        <v>14018</v>
      </c>
      <c r="C5" s="67">
        <v>1232</v>
      </c>
      <c r="D5" s="2"/>
    </row>
    <row r="6" spans="1:10" s="49" customFormat="1" x14ac:dyDescent="0.4">
      <c r="A6" s="66" t="s">
        <v>50</v>
      </c>
      <c r="B6" s="68">
        <v>8020</v>
      </c>
      <c r="C6" s="68">
        <v>781</v>
      </c>
      <c r="D6" s="10"/>
    </row>
    <row r="7" spans="1:10" s="49" customFormat="1" ht="16.5" customHeight="1" x14ac:dyDescent="0.4">
      <c r="A7" s="66" t="s">
        <v>49</v>
      </c>
      <c r="B7" s="67">
        <v>12340</v>
      </c>
      <c r="C7" s="67">
        <v>498</v>
      </c>
      <c r="D7" s="10"/>
    </row>
    <row r="8" spans="1:10" ht="18.75" customHeight="1" x14ac:dyDescent="0.4">
      <c r="A8" s="10"/>
      <c r="B8" s="10"/>
      <c r="C8" s="10"/>
      <c r="D8" s="10"/>
    </row>
    <row r="9" spans="1:10" s="71" customFormat="1" x14ac:dyDescent="0.4">
      <c r="A9" s="70" t="s">
        <v>52</v>
      </c>
      <c r="B9" s="69"/>
      <c r="C9" s="69"/>
      <c r="D9" s="69"/>
    </row>
    <row r="10" spans="1:10" s="71" customFormat="1" x14ac:dyDescent="0.4">
      <c r="A10" s="72" t="s">
        <v>53</v>
      </c>
      <c r="B10" s="69"/>
      <c r="C10" s="69"/>
      <c r="D10" s="69"/>
    </row>
    <row r="11" spans="1:10" s="71" customFormat="1" x14ac:dyDescent="0.4">
      <c r="A11" s="69" t="s">
        <v>54</v>
      </c>
      <c r="B11" s="69"/>
      <c r="C11" s="69"/>
      <c r="D11" s="69"/>
    </row>
    <row r="12" spans="1:10" s="71" customFormat="1" x14ac:dyDescent="0.4">
      <c r="A12" s="69" t="s">
        <v>55</v>
      </c>
      <c r="B12" s="69"/>
      <c r="D12" s="69"/>
      <c r="F12" s="69"/>
      <c r="G12" s="69"/>
    </row>
    <row r="13" spans="1:10" s="61" customFormat="1" x14ac:dyDescent="0.4">
      <c r="A13" s="58"/>
      <c r="B13" s="58"/>
      <c r="C13" s="63"/>
      <c r="D13" s="58"/>
      <c r="G13" s="58"/>
    </row>
    <row r="14" spans="1:10" s="57" customFormat="1" x14ac:dyDescent="0.4">
      <c r="A14" s="60"/>
      <c r="B14" s="60"/>
      <c r="C14" s="59"/>
      <c r="D14" s="62"/>
    </row>
    <row r="15" spans="1:10" s="57" customFormat="1" x14ac:dyDescent="0.4">
      <c r="A15" s="60" t="s">
        <v>0</v>
      </c>
      <c r="B15" s="60"/>
      <c r="C15" s="60"/>
      <c r="D15" s="62"/>
    </row>
    <row r="16" spans="1:10" s="57" customFormat="1" x14ac:dyDescent="0.4">
      <c r="A16" s="2"/>
      <c r="B16" s="85" t="s">
        <v>51</v>
      </c>
      <c r="C16" s="86"/>
      <c r="D16" s="62"/>
      <c r="G16" s="2"/>
      <c r="H16" s="85" t="s">
        <v>51</v>
      </c>
      <c r="I16" s="86"/>
      <c r="J16" s="62"/>
    </row>
    <row r="17" spans="1:10" s="57" customFormat="1" ht="49.2" x14ac:dyDescent="0.4">
      <c r="A17" s="64" t="s">
        <v>47</v>
      </c>
      <c r="B17" s="65" t="s">
        <v>45</v>
      </c>
      <c r="C17" s="65" t="s">
        <v>46</v>
      </c>
      <c r="D17" s="73" t="s">
        <v>26</v>
      </c>
      <c r="G17" s="64" t="s">
        <v>47</v>
      </c>
      <c r="H17" s="65" t="s">
        <v>45</v>
      </c>
      <c r="I17" s="65" t="s">
        <v>46</v>
      </c>
      <c r="J17" s="73" t="s">
        <v>26</v>
      </c>
    </row>
    <row r="18" spans="1:10" s="57" customFormat="1" x14ac:dyDescent="0.4">
      <c r="A18" s="66" t="s">
        <v>48</v>
      </c>
      <c r="B18" s="67">
        <f>B5</f>
        <v>14018</v>
      </c>
      <c r="C18" s="67">
        <f>C5</f>
        <v>1232</v>
      </c>
      <c r="D18" s="73">
        <f>SUM(B18:C18)</f>
        <v>15250</v>
      </c>
      <c r="G18" s="66" t="s">
        <v>48</v>
      </c>
      <c r="H18" s="67">
        <f>B18/B$21</f>
        <v>0.40776077724125892</v>
      </c>
      <c r="I18" s="67">
        <f>C18/C$21</f>
        <v>0.49064117881322183</v>
      </c>
      <c r="J18" s="67">
        <f>D18/D$21</f>
        <v>0.41340236926997209</v>
      </c>
    </row>
    <row r="19" spans="1:10" s="57" customFormat="1" x14ac:dyDescent="0.4">
      <c r="A19" s="66" t="s">
        <v>50</v>
      </c>
      <c r="B19" s="67">
        <f t="shared" ref="B19:C20" si="0">B6</f>
        <v>8020</v>
      </c>
      <c r="C19" s="67">
        <f t="shared" si="0"/>
        <v>781</v>
      </c>
      <c r="D19" s="73">
        <f t="shared" ref="D19:D21" si="1">SUM(B19:C19)</f>
        <v>8801</v>
      </c>
      <c r="G19" s="66" t="s">
        <v>50</v>
      </c>
      <c r="H19" s="67">
        <f t="shared" ref="H19:I20" si="2">B19/B$21</f>
        <v>0.23328873116528012</v>
      </c>
      <c r="I19" s="67">
        <f t="shared" si="2"/>
        <v>0.311031461569096</v>
      </c>
      <c r="J19" s="67">
        <f>D19/D$21</f>
        <v>0.23858060668491962</v>
      </c>
    </row>
    <row r="20" spans="1:10" s="57" customFormat="1" ht="24.6" x14ac:dyDescent="0.4">
      <c r="A20" s="66" t="s">
        <v>49</v>
      </c>
      <c r="B20" s="67">
        <f t="shared" si="0"/>
        <v>12340</v>
      </c>
      <c r="C20" s="67">
        <f t="shared" si="0"/>
        <v>498</v>
      </c>
      <c r="D20" s="73">
        <f t="shared" si="1"/>
        <v>12838</v>
      </c>
      <c r="G20" s="66" t="s">
        <v>49</v>
      </c>
      <c r="H20" s="67">
        <f t="shared" si="2"/>
        <v>0.35895049159346093</v>
      </c>
      <c r="I20" s="67">
        <f t="shared" si="2"/>
        <v>0.19832735961768219</v>
      </c>
      <c r="J20" s="67">
        <f>D20/D$21</f>
        <v>0.34801702404510831</v>
      </c>
    </row>
    <row r="21" spans="1:10" s="57" customFormat="1" x14ac:dyDescent="0.4">
      <c r="A21" s="60" t="s">
        <v>26</v>
      </c>
      <c r="B21" s="60">
        <f>SUM(B18:B20)</f>
        <v>34378</v>
      </c>
      <c r="C21" s="60">
        <f>SUM(C18:C20)</f>
        <v>2511</v>
      </c>
      <c r="D21" s="73">
        <f t="shared" si="1"/>
        <v>36889</v>
      </c>
      <c r="G21" s="60" t="s">
        <v>26</v>
      </c>
      <c r="H21" s="60">
        <f>SUM(H18:H20)</f>
        <v>1</v>
      </c>
      <c r="I21" s="60">
        <f>SUM(I18:I20)</f>
        <v>1</v>
      </c>
      <c r="J21" s="60">
        <f>SUM(J18:J20)</f>
        <v>1</v>
      </c>
    </row>
    <row r="22" spans="1:10" x14ac:dyDescent="0.4">
      <c r="A22" s="15"/>
      <c r="B22"/>
      <c r="C22"/>
      <c r="D22" s="2"/>
    </row>
    <row r="23" spans="1:10" x14ac:dyDescent="0.4">
      <c r="A23" s="15" t="s">
        <v>1</v>
      </c>
      <c r="B23"/>
      <c r="C23"/>
      <c r="D23" s="2"/>
    </row>
    <row r="24" spans="1:10" x14ac:dyDescent="0.4">
      <c r="A24" s="24" t="s">
        <v>56</v>
      </c>
      <c r="B24"/>
      <c r="C24"/>
      <c r="D24" s="2"/>
    </row>
    <row r="25" spans="1:10" x14ac:dyDescent="0.4">
      <c r="A25"/>
      <c r="B25"/>
      <c r="C25"/>
      <c r="D25" s="2"/>
    </row>
    <row r="26" spans="1:10" x14ac:dyDescent="0.4">
      <c r="A26" s="24" t="s">
        <v>8</v>
      </c>
      <c r="B26"/>
      <c r="C26"/>
      <c r="D26" s="2"/>
    </row>
    <row r="27" spans="1:10" x14ac:dyDescent="0.4">
      <c r="A27" s="2"/>
      <c r="B27" s="85" t="s">
        <v>51</v>
      </c>
      <c r="C27" s="86"/>
      <c r="D27" s="62"/>
      <c r="G27" s="2"/>
      <c r="H27" s="85" t="s">
        <v>51</v>
      </c>
      <c r="I27" s="86"/>
      <c r="J27" s="62"/>
    </row>
    <row r="28" spans="1:10" ht="49.2" x14ac:dyDescent="0.4">
      <c r="A28" s="64" t="s">
        <v>47</v>
      </c>
      <c r="B28" s="65" t="s">
        <v>45</v>
      </c>
      <c r="C28" s="65" t="s">
        <v>46</v>
      </c>
      <c r="D28" s="73" t="s">
        <v>26</v>
      </c>
      <c r="G28" s="64" t="s">
        <v>47</v>
      </c>
      <c r="H28" s="65" t="s">
        <v>45</v>
      </c>
      <c r="I28" s="65" t="s">
        <v>46</v>
      </c>
      <c r="J28" s="73" t="s">
        <v>26</v>
      </c>
    </row>
    <row r="29" spans="1:10" x14ac:dyDescent="0.4">
      <c r="A29" s="66" t="s">
        <v>48</v>
      </c>
      <c r="B29" s="67">
        <f>$D18*B$21/$D$21</f>
        <v>14211.9466507631</v>
      </c>
      <c r="C29" s="67">
        <f>$D18*C$21/$D$21</f>
        <v>1038.0533492369</v>
      </c>
      <c r="D29" s="73">
        <f>SUM(B29:C29)</f>
        <v>15250</v>
      </c>
      <c r="G29" s="66" t="s">
        <v>48</v>
      </c>
      <c r="H29" s="67">
        <f>(B18-B29)^2/B29</f>
        <v>2.6467382876225711</v>
      </c>
      <c r="I29" s="67">
        <f>(C18-C29)^2/C29</f>
        <v>36.236387436036765</v>
      </c>
      <c r="J29" s="73">
        <f>SUM(H29:I29)</f>
        <v>38.883125723659333</v>
      </c>
    </row>
    <row r="30" spans="1:10" x14ac:dyDescent="0.4">
      <c r="A30" s="66" t="s">
        <v>50</v>
      </c>
      <c r="B30" s="67">
        <f t="shared" ref="B30:C30" si="3">$D19*B$21/$D$21</f>
        <v>8201.924096614166</v>
      </c>
      <c r="C30" s="67">
        <f t="shared" si="3"/>
        <v>599.07590338583316</v>
      </c>
      <c r="D30" s="73">
        <f t="shared" ref="D30:D32" si="4">SUM(B30:C30)</f>
        <v>8801</v>
      </c>
      <c r="G30" s="66" t="s">
        <v>50</v>
      </c>
      <c r="H30" s="67">
        <f t="shared" ref="H30:I30" si="5">(B19-B30)^2/B30</f>
        <v>4.0351966854390824</v>
      </c>
      <c r="I30" s="67">
        <f t="shared" si="5"/>
        <v>55.245715512555144</v>
      </c>
      <c r="J30" s="73">
        <f t="shared" ref="J30:J32" si="6">SUM(H30:I30)</f>
        <v>59.280912197994226</v>
      </c>
    </row>
    <row r="31" spans="1:10" ht="24.6" x14ac:dyDescent="0.4">
      <c r="A31" s="66" t="s">
        <v>49</v>
      </c>
      <c r="B31" s="67">
        <f t="shared" ref="B31:C31" si="7">$D20*B$21/$D$21</f>
        <v>11964.129252622733</v>
      </c>
      <c r="C31" s="67">
        <f t="shared" si="7"/>
        <v>873.87074737726698</v>
      </c>
      <c r="D31" s="73">
        <f t="shared" si="4"/>
        <v>12838</v>
      </c>
      <c r="G31" s="66" t="s">
        <v>49</v>
      </c>
      <c r="H31" s="67">
        <f t="shared" ref="H31:I31" si="8">(B20-B31)^2/B31</f>
        <v>11.808533304082641</v>
      </c>
      <c r="I31" s="67">
        <f t="shared" si="8"/>
        <v>161.67015449133973</v>
      </c>
      <c r="J31" s="73">
        <f t="shared" si="6"/>
        <v>173.47868779542236</v>
      </c>
    </row>
    <row r="32" spans="1:10" x14ac:dyDescent="0.4">
      <c r="A32" s="60" t="s">
        <v>26</v>
      </c>
      <c r="B32" s="60">
        <f>SUM(B29:B31)</f>
        <v>34378</v>
      </c>
      <c r="C32" s="60">
        <f>SUM(C29:C31)</f>
        <v>2511</v>
      </c>
      <c r="D32" s="73">
        <f t="shared" si="4"/>
        <v>36889</v>
      </c>
      <c r="G32" s="60" t="s">
        <v>26</v>
      </c>
      <c r="H32" s="60">
        <f>SUM(H29:H31)</f>
        <v>18.490468277144295</v>
      </c>
      <c r="I32" s="60">
        <f>SUM(I29:I31)</f>
        <v>253.15225743993165</v>
      </c>
      <c r="J32" s="73">
        <f t="shared" si="6"/>
        <v>271.64272571707596</v>
      </c>
    </row>
    <row r="33" spans="1:10" x14ac:dyDescent="0.4">
      <c r="A33" s="15"/>
    </row>
    <row r="34" spans="1:10" x14ac:dyDescent="0.4">
      <c r="A34" s="15"/>
    </row>
    <row r="35" spans="1:10" x14ac:dyDescent="0.4">
      <c r="A35" s="15" t="s">
        <v>57</v>
      </c>
      <c r="C35" s="3">
        <f>J32</f>
        <v>271.64272571707596</v>
      </c>
    </row>
    <row r="36" spans="1:10" x14ac:dyDescent="0.4">
      <c r="A36" s="15" t="s">
        <v>58</v>
      </c>
      <c r="C36" s="3">
        <f>SQRT(J32/D21)</f>
        <v>8.5812508701234816E-2</v>
      </c>
      <c r="D36" s="49" t="s">
        <v>59</v>
      </c>
    </row>
    <row r="38" spans="1:10" x14ac:dyDescent="0.4">
      <c r="A38" s="49" t="s">
        <v>10</v>
      </c>
    </row>
    <row r="39" spans="1:10" x14ac:dyDescent="0.4">
      <c r="J39" s="49" t="s">
        <v>60</v>
      </c>
    </row>
    <row r="40" spans="1:10" x14ac:dyDescent="0.4">
      <c r="J40" s="49" t="s">
        <v>61</v>
      </c>
    </row>
    <row r="42" spans="1:10" x14ac:dyDescent="0.4">
      <c r="A42" s="31"/>
    </row>
  </sheetData>
  <mergeCells count="5">
    <mergeCell ref="B3:C3"/>
    <mergeCell ref="B16:C16"/>
    <mergeCell ref="H16:I16"/>
    <mergeCell ref="B27:C27"/>
    <mergeCell ref="H27:I27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zoomScaleNormal="100" workbookViewId="0">
      <selection activeCell="B26" sqref="B26"/>
    </sheetView>
  </sheetViews>
  <sheetFormatPr defaultRowHeight="12.3" x14ac:dyDescent="0.4"/>
  <cols>
    <col min="1" max="1" width="14.109375" customWidth="1"/>
    <col min="2" max="2" width="14.6640625" customWidth="1"/>
    <col min="3" max="3" width="8.5546875" customWidth="1"/>
    <col min="4" max="4" width="7.109375" customWidth="1"/>
    <col min="5" max="5" width="14.6640625" customWidth="1"/>
    <col min="6" max="7" width="8.88671875" customWidth="1"/>
    <col min="8" max="8" width="8.44140625" customWidth="1"/>
    <col min="9" max="9" width="19.33203125" customWidth="1"/>
    <col min="10" max="10" width="6.5546875" customWidth="1"/>
    <col min="11" max="11" width="14.33203125" customWidth="1"/>
    <col min="12" max="12" width="4.88671875" customWidth="1"/>
    <col min="13" max="13" width="6.44140625" customWidth="1"/>
    <col min="14" max="14" width="5.5546875" customWidth="1"/>
    <col min="15" max="15" width="4.109375" customWidth="1"/>
  </cols>
  <sheetData>
    <row r="1" spans="1:13" x14ac:dyDescent="0.4">
      <c r="A1" s="2" t="s">
        <v>127</v>
      </c>
    </row>
    <row r="2" spans="1:13" x14ac:dyDescent="0.4">
      <c r="A2" s="2"/>
    </row>
    <row r="3" spans="1:13" x14ac:dyDescent="0.4">
      <c r="A3" s="2"/>
    </row>
    <row r="4" spans="1:13" s="27" customFormat="1" ht="39" customHeight="1" x14ac:dyDescent="0.4">
      <c r="A4" s="27" t="s">
        <v>62</v>
      </c>
      <c r="B4" s="83" t="s">
        <v>64</v>
      </c>
      <c r="C4" s="83" t="s">
        <v>65</v>
      </c>
      <c r="D4" s="83" t="s">
        <v>68</v>
      </c>
      <c r="E4" s="83" t="s">
        <v>69</v>
      </c>
      <c r="F4" s="83" t="s">
        <v>70</v>
      </c>
      <c r="G4" s="83" t="s">
        <v>66</v>
      </c>
      <c r="H4" s="83" t="s">
        <v>67</v>
      </c>
    </row>
    <row r="5" spans="1:13" x14ac:dyDescent="0.4">
      <c r="A5" t="s">
        <v>63</v>
      </c>
      <c r="B5" s="84">
        <v>3012</v>
      </c>
      <c r="C5" s="84">
        <v>12879</v>
      </c>
      <c r="D5" s="84">
        <v>42120</v>
      </c>
      <c r="E5" s="84">
        <v>15012</v>
      </c>
      <c r="F5" s="84">
        <v>5321</v>
      </c>
      <c r="G5" s="84">
        <v>1904</v>
      </c>
      <c r="H5" s="84">
        <v>2341</v>
      </c>
    </row>
    <row r="6" spans="1:13" x14ac:dyDescent="0.4">
      <c r="A6" s="41"/>
      <c r="B6" s="2"/>
      <c r="C6" s="32"/>
      <c r="D6" s="12"/>
      <c r="E6" s="12"/>
      <c r="H6" s="30"/>
    </row>
    <row r="7" spans="1:13" x14ac:dyDescent="0.4">
      <c r="A7" s="2" t="s">
        <v>71</v>
      </c>
      <c r="B7" s="2"/>
      <c r="C7" s="32"/>
      <c r="D7" s="12"/>
      <c r="E7" s="12"/>
      <c r="H7" s="30"/>
    </row>
    <row r="8" spans="1:13" x14ac:dyDescent="0.4">
      <c r="A8" s="79" t="s">
        <v>72</v>
      </c>
      <c r="B8" s="2"/>
      <c r="C8" s="32"/>
      <c r="D8" s="12"/>
      <c r="E8" s="12"/>
      <c r="H8" s="30"/>
    </row>
    <row r="9" spans="1:13" x14ac:dyDescent="0.4">
      <c r="A9" s="80" t="s">
        <v>73</v>
      </c>
      <c r="B9" s="2"/>
      <c r="C9" s="32"/>
      <c r="D9" s="12"/>
      <c r="E9" s="12"/>
      <c r="H9" s="30"/>
    </row>
    <row r="10" spans="1:13" x14ac:dyDescent="0.4">
      <c r="A10" s="2" t="s">
        <v>85</v>
      </c>
      <c r="B10" s="2"/>
      <c r="C10" s="56"/>
      <c r="D10" s="12"/>
      <c r="E10" s="12"/>
      <c r="H10" s="30"/>
      <c r="I10" s="5"/>
      <c r="J10" s="5"/>
      <c r="K10" s="5"/>
      <c r="L10" s="5"/>
      <c r="M10" s="5"/>
    </row>
    <row r="11" spans="1:13" x14ac:dyDescent="0.4">
      <c r="A11" s="2"/>
      <c r="B11" s="2"/>
      <c r="C11" s="12"/>
      <c r="D11" s="12"/>
      <c r="E11" s="12"/>
      <c r="H11" s="30"/>
      <c r="I11" s="5"/>
      <c r="J11" s="5"/>
      <c r="K11" s="5"/>
      <c r="L11" s="5"/>
      <c r="M11" s="5"/>
    </row>
    <row r="12" spans="1:13" ht="19.8" x14ac:dyDescent="0.4">
      <c r="A12" s="27" t="s">
        <v>62</v>
      </c>
      <c r="B12" s="83" t="s">
        <v>64</v>
      </c>
      <c r="C12" s="83" t="s">
        <v>65</v>
      </c>
      <c r="D12" s="83" t="s">
        <v>68</v>
      </c>
      <c r="E12" s="83" t="s">
        <v>69</v>
      </c>
      <c r="F12" s="83" t="s">
        <v>70</v>
      </c>
      <c r="G12" s="83" t="s">
        <v>66</v>
      </c>
      <c r="H12" s="83" t="s">
        <v>67</v>
      </c>
      <c r="I12" s="5"/>
      <c r="J12" s="5"/>
      <c r="K12" s="5"/>
      <c r="L12" s="5"/>
      <c r="M12" s="5"/>
    </row>
    <row r="13" spans="1:13" x14ac:dyDescent="0.4">
      <c r="A13" s="82" t="s">
        <v>63</v>
      </c>
      <c r="B13" s="84">
        <f>B5</f>
        <v>3012</v>
      </c>
      <c r="C13" s="84">
        <f t="shared" ref="C13:H13" si="0">C5</f>
        <v>12879</v>
      </c>
      <c r="D13" s="84">
        <f t="shared" si="0"/>
        <v>42120</v>
      </c>
      <c r="E13" s="84">
        <f t="shared" si="0"/>
        <v>15012</v>
      </c>
      <c r="F13" s="84">
        <f t="shared" si="0"/>
        <v>5321</v>
      </c>
      <c r="G13" s="84">
        <f t="shared" si="0"/>
        <v>1904</v>
      </c>
      <c r="H13" s="84">
        <f t="shared" si="0"/>
        <v>2341</v>
      </c>
      <c r="I13" s="5">
        <f>SUM(B13:H13)</f>
        <v>82589</v>
      </c>
      <c r="J13" s="5"/>
      <c r="K13" s="5"/>
      <c r="L13" s="5"/>
      <c r="M13" s="5"/>
    </row>
    <row r="14" spans="1:13" x14ac:dyDescent="0.4">
      <c r="A14" s="78" t="s">
        <v>74</v>
      </c>
      <c r="B14" s="5">
        <f>5</f>
        <v>5</v>
      </c>
      <c r="C14" s="5">
        <f>5</f>
        <v>5</v>
      </c>
      <c r="D14" s="5">
        <v>10</v>
      </c>
      <c r="E14" s="5">
        <v>10</v>
      </c>
      <c r="F14" s="5">
        <v>10</v>
      </c>
      <c r="G14" s="48">
        <v>10</v>
      </c>
      <c r="H14" s="48">
        <v>50</v>
      </c>
      <c r="I14" s="5"/>
      <c r="J14" s="5"/>
      <c r="K14" s="5"/>
      <c r="L14" s="5"/>
      <c r="M14" s="5"/>
    </row>
    <row r="15" spans="1:13" x14ac:dyDescent="0.4">
      <c r="A15" s="78" t="s">
        <v>75</v>
      </c>
      <c r="B15" s="5">
        <f>B13/B14</f>
        <v>602.4</v>
      </c>
      <c r="C15" s="5">
        <f t="shared" ref="C15:H15" si="1">C13/C14</f>
        <v>2575.8000000000002</v>
      </c>
      <c r="D15" s="5">
        <f t="shared" si="1"/>
        <v>4212</v>
      </c>
      <c r="E15" s="5">
        <f t="shared" si="1"/>
        <v>1501.2</v>
      </c>
      <c r="F15" s="5">
        <f t="shared" si="1"/>
        <v>532.1</v>
      </c>
      <c r="G15" s="5">
        <f t="shared" si="1"/>
        <v>190.4</v>
      </c>
      <c r="H15" s="5">
        <f t="shared" si="1"/>
        <v>46.82</v>
      </c>
      <c r="I15" s="5"/>
      <c r="J15" s="5"/>
      <c r="K15" s="5"/>
      <c r="L15" s="5"/>
      <c r="M15" s="5"/>
    </row>
    <row r="16" spans="1:13" x14ac:dyDescent="0.4">
      <c r="A16" s="78" t="s">
        <v>76</v>
      </c>
      <c r="B16">
        <f>B15/$I13</f>
        <v>7.2939495574471172E-3</v>
      </c>
      <c r="C16" s="82">
        <f t="shared" ref="C16:H16" si="2">C15/$I13</f>
        <v>3.1188172759084143E-2</v>
      </c>
      <c r="D16" s="82">
        <f t="shared" si="2"/>
        <v>5.0999527782150167E-2</v>
      </c>
      <c r="E16" s="82">
        <f t="shared" si="2"/>
        <v>1.8176754773638136E-2</v>
      </c>
      <c r="F16" s="82">
        <f t="shared" si="2"/>
        <v>6.4427466127450388E-3</v>
      </c>
      <c r="G16" s="82">
        <f t="shared" si="2"/>
        <v>2.3053917591931128E-3</v>
      </c>
      <c r="H16" s="82">
        <f t="shared" si="2"/>
        <v>5.669035828015838E-4</v>
      </c>
    </row>
    <row r="17" spans="1:16" x14ac:dyDescent="0.4">
      <c r="A17" s="77" t="s">
        <v>77</v>
      </c>
      <c r="B17" s="33">
        <v>2.5</v>
      </c>
      <c r="C17" s="33">
        <v>7.5</v>
      </c>
      <c r="D17" s="33">
        <v>15</v>
      </c>
      <c r="E17" s="33">
        <v>25</v>
      </c>
      <c r="F17" s="33">
        <v>35</v>
      </c>
      <c r="G17" s="33">
        <v>45</v>
      </c>
      <c r="H17" s="33">
        <v>75</v>
      </c>
    </row>
    <row r="18" spans="1:16" x14ac:dyDescent="0.4">
      <c r="A18" s="76" t="s">
        <v>78</v>
      </c>
      <c r="B18" s="5">
        <f>B13*B17</f>
        <v>7530</v>
      </c>
      <c r="C18" s="5">
        <f t="shared" ref="C18:E18" si="3">C13*C17</f>
        <v>96592.5</v>
      </c>
      <c r="D18" s="5">
        <f t="shared" si="3"/>
        <v>631800</v>
      </c>
      <c r="E18" s="5">
        <f t="shared" si="3"/>
        <v>375300</v>
      </c>
      <c r="F18" s="5">
        <f t="shared" ref="F18" si="4">F13*F17</f>
        <v>186235</v>
      </c>
      <c r="G18" s="5">
        <f t="shared" ref="G18:H18" si="5">G13*G17</f>
        <v>85680</v>
      </c>
      <c r="H18" s="5">
        <f t="shared" si="5"/>
        <v>175575</v>
      </c>
      <c r="I18" s="5">
        <f>SUM(B18:H18)</f>
        <v>1558712.5</v>
      </c>
    </row>
    <row r="19" spans="1:16" x14ac:dyDescent="0.4">
      <c r="A19" s="53" t="s">
        <v>80</v>
      </c>
      <c r="B19" s="5">
        <f>B13/$I13</f>
        <v>3.6469747787235586E-2</v>
      </c>
      <c r="C19" s="5">
        <f t="shared" ref="C19:H19" si="6">C13/$I13</f>
        <v>0.15594086379542069</v>
      </c>
      <c r="D19" s="5">
        <f t="shared" si="6"/>
        <v>0.50999527782150167</v>
      </c>
      <c r="E19" s="5">
        <f t="shared" si="6"/>
        <v>0.18176754773638135</v>
      </c>
      <c r="F19" s="5">
        <f t="shared" si="6"/>
        <v>6.4427466127450386E-2</v>
      </c>
      <c r="G19" s="5">
        <f t="shared" si="6"/>
        <v>2.3053917591931129E-2</v>
      </c>
      <c r="H19" s="5">
        <f t="shared" si="6"/>
        <v>2.8345179140079186E-2</v>
      </c>
      <c r="I19" s="5">
        <f>SUM(B19:H19)</f>
        <v>1</v>
      </c>
    </row>
    <row r="20" spans="1:16" x14ac:dyDescent="0.4">
      <c r="A20" s="54" t="s">
        <v>81</v>
      </c>
      <c r="B20" s="48">
        <f>B19</f>
        <v>3.6469747787235586E-2</v>
      </c>
      <c r="C20" s="55">
        <f>B20+C19</f>
        <v>0.19241061158265627</v>
      </c>
      <c r="D20" s="55">
        <f t="shared" ref="D20:H20" si="7">C20+D19</f>
        <v>0.70240588940415793</v>
      </c>
      <c r="E20" s="55">
        <f t="shared" si="7"/>
        <v>0.88417343714053931</v>
      </c>
      <c r="F20" s="55">
        <f t="shared" si="7"/>
        <v>0.94860090326798974</v>
      </c>
      <c r="G20" s="55">
        <f t="shared" si="7"/>
        <v>0.97165482085992083</v>
      </c>
      <c r="H20" s="55">
        <f t="shared" si="7"/>
        <v>1</v>
      </c>
      <c r="P20" s="7"/>
    </row>
    <row r="21" spans="1:16" x14ac:dyDescent="0.4">
      <c r="A21" s="42"/>
      <c r="B21" s="42"/>
      <c r="C21" s="34"/>
    </row>
    <row r="22" spans="1:16" x14ac:dyDescent="0.4">
      <c r="A22" s="54" t="s">
        <v>1</v>
      </c>
      <c r="B22" s="42"/>
      <c r="C22" s="34"/>
    </row>
    <row r="23" spans="1:16" x14ac:dyDescent="0.4">
      <c r="A23" s="54" t="s">
        <v>79</v>
      </c>
      <c r="B23" s="42">
        <f>I18/I13</f>
        <v>18.873124750269405</v>
      </c>
      <c r="C23" s="34"/>
      <c r="D23" s="48" t="s">
        <v>82</v>
      </c>
    </row>
    <row r="24" spans="1:16" x14ac:dyDescent="0.4">
      <c r="A24" s="54" t="s">
        <v>20</v>
      </c>
      <c r="B24" s="42">
        <f>10+(0.5-C20)/(D20-C20)*D14</f>
        <v>16.031220322886988</v>
      </c>
      <c r="C24" s="34"/>
    </row>
    <row r="25" spans="1:16" x14ac:dyDescent="0.4">
      <c r="A25" s="42"/>
      <c r="B25" s="42"/>
      <c r="C25" s="34"/>
    </row>
    <row r="26" spans="1:16" x14ac:dyDescent="0.4">
      <c r="A26" s="54" t="s">
        <v>8</v>
      </c>
      <c r="B26" s="42"/>
      <c r="C26" s="34"/>
      <c r="K26" s="8"/>
      <c r="L26" s="7"/>
      <c r="M26" s="8"/>
    </row>
    <row r="27" spans="1:16" x14ac:dyDescent="0.4">
      <c r="A27" s="54" t="s">
        <v>83</v>
      </c>
      <c r="B27" s="54" t="s">
        <v>84</v>
      </c>
      <c r="C27" s="34">
        <f>E20+(37-30)/(40-30)*F19</f>
        <v>0.92927266342975456</v>
      </c>
      <c r="D27" s="75" t="s">
        <v>11</v>
      </c>
      <c r="E27">
        <f>1-C27</f>
        <v>7.0727336570245436E-2</v>
      </c>
    </row>
    <row r="28" spans="1:16" x14ac:dyDescent="0.4">
      <c r="A28" s="42"/>
      <c r="B28" s="42"/>
      <c r="C28" s="55"/>
    </row>
    <row r="29" spans="1:16" x14ac:dyDescent="0.4">
      <c r="A29" s="74" t="s">
        <v>10</v>
      </c>
    </row>
    <row r="30" spans="1:16" x14ac:dyDescent="0.4">
      <c r="A30" s="74" t="s">
        <v>86</v>
      </c>
    </row>
    <row r="31" spans="1:16" x14ac:dyDescent="0.4">
      <c r="A31" s="74" t="s">
        <v>35</v>
      </c>
      <c r="B31">
        <f>10+(0.6-C20)/(D20-C20)*D14</f>
        <v>17.992022792022791</v>
      </c>
    </row>
    <row r="32" spans="1:16" x14ac:dyDescent="0.4">
      <c r="A32" s="48"/>
    </row>
    <row r="33" spans="1:4" x14ac:dyDescent="0.4">
      <c r="A33" s="48"/>
    </row>
    <row r="35" spans="1:4" x14ac:dyDescent="0.4">
      <c r="A35" s="48"/>
      <c r="D35" s="48"/>
    </row>
    <row r="36" spans="1:4" x14ac:dyDescent="0.4">
      <c r="A36" s="48"/>
    </row>
    <row r="38" spans="1:4" x14ac:dyDescent="0.4">
      <c r="A38" s="48"/>
    </row>
    <row r="39" spans="1:4" x14ac:dyDescent="0.4">
      <c r="A39" s="48"/>
      <c r="D39" s="48"/>
    </row>
    <row r="41" spans="1:4" x14ac:dyDescent="0.4">
      <c r="A41" s="48"/>
    </row>
    <row r="42" spans="1:4" x14ac:dyDescent="0.4">
      <c r="A42" s="48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Normal="100" workbookViewId="0">
      <selection activeCell="F26" sqref="F26"/>
    </sheetView>
  </sheetViews>
  <sheetFormatPr defaultColWidth="9.109375" defaultRowHeight="12.3" x14ac:dyDescent="0.4"/>
  <cols>
    <col min="1" max="1" width="8.33203125" style="3" customWidth="1"/>
    <col min="2" max="2" width="6.5546875" style="3" customWidth="1"/>
    <col min="3" max="3" width="5.5546875" style="3" customWidth="1"/>
    <col min="4" max="4" width="20.21875" style="3" customWidth="1"/>
    <col min="5" max="16384" width="9.109375" style="3"/>
  </cols>
  <sheetData>
    <row r="1" spans="1:10" x14ac:dyDescent="0.4">
      <c r="A1" s="2" t="s">
        <v>128</v>
      </c>
    </row>
    <row r="2" spans="1:10" x14ac:dyDescent="0.4">
      <c r="A2" s="2" t="s">
        <v>129</v>
      </c>
    </row>
    <row r="3" spans="1:10" x14ac:dyDescent="0.4">
      <c r="A3" s="2" t="s">
        <v>111</v>
      </c>
    </row>
    <row r="4" spans="1:10" x14ac:dyDescent="0.4">
      <c r="A4" s="16" t="s">
        <v>112</v>
      </c>
    </row>
    <row r="5" spans="1:10" x14ac:dyDescent="0.4">
      <c r="A5" s="10" t="s">
        <v>113</v>
      </c>
    </row>
    <row r="6" spans="1:10" x14ac:dyDescent="0.4">
      <c r="A6" s="10" t="s">
        <v>114</v>
      </c>
      <c r="B6" s="10"/>
      <c r="C6" s="10"/>
      <c r="D6" s="23"/>
      <c r="E6" s="23"/>
      <c r="F6" s="23"/>
      <c r="G6" s="23"/>
      <c r="H6" s="23"/>
      <c r="I6" s="23"/>
      <c r="J6" s="23"/>
    </row>
    <row r="7" spans="1:10" x14ac:dyDescent="0.4">
      <c r="A7" s="23" t="s">
        <v>115</v>
      </c>
      <c r="B7" s="10"/>
      <c r="C7" s="10"/>
      <c r="D7" s="23"/>
      <c r="E7" s="23"/>
      <c r="F7" s="23"/>
      <c r="G7" s="23"/>
      <c r="H7" s="23"/>
      <c r="I7" s="23"/>
      <c r="J7" s="23"/>
    </row>
    <row r="9" spans="1:10" x14ac:dyDescent="0.4">
      <c r="A9" s="23"/>
    </row>
    <row r="10" spans="1:10" x14ac:dyDescent="0.4">
      <c r="B10" s="87"/>
      <c r="C10" s="87"/>
      <c r="D10" s="87"/>
      <c r="I10" s="49"/>
      <c r="J10" s="49"/>
    </row>
    <row r="11" spans="1:10" x14ac:dyDescent="0.4">
      <c r="A11" s="49" t="s">
        <v>116</v>
      </c>
      <c r="B11" s="9"/>
      <c r="C11" s="9"/>
      <c r="D11" s="9"/>
      <c r="H11" s="49"/>
    </row>
    <row r="12" spans="1:10" x14ac:dyDescent="0.4">
      <c r="A12" s="50" t="s">
        <v>117</v>
      </c>
      <c r="B12" s="9"/>
      <c r="C12" s="9"/>
      <c r="D12" s="9"/>
      <c r="H12" s="49"/>
    </row>
    <row r="13" spans="1:10" x14ac:dyDescent="0.4">
      <c r="A13" s="50" t="s">
        <v>118</v>
      </c>
      <c r="B13" s="9">
        <v>0.25</v>
      </c>
      <c r="C13" s="9"/>
      <c r="D13" s="9"/>
    </row>
    <row r="14" spans="1:10" ht="13.8" x14ac:dyDescent="0.4">
      <c r="A14" s="50" t="s">
        <v>119</v>
      </c>
      <c r="B14" s="3">
        <v>0.38</v>
      </c>
    </row>
    <row r="15" spans="1:10" x14ac:dyDescent="0.4">
      <c r="A15" s="50" t="s">
        <v>120</v>
      </c>
      <c r="B15" s="3">
        <v>0.54</v>
      </c>
      <c r="J15" s="51"/>
    </row>
    <row r="16" spans="1:10" x14ac:dyDescent="0.4">
      <c r="A16" s="50"/>
    </row>
    <row r="17" spans="1:11" x14ac:dyDescent="0.4">
      <c r="A17" s="37" t="s">
        <v>0</v>
      </c>
    </row>
    <row r="18" spans="1:11" x14ac:dyDescent="0.4">
      <c r="A18" s="50" t="s">
        <v>27</v>
      </c>
      <c r="B18" s="3">
        <f>B13*B15+B14*(1-B15)</f>
        <v>0.30979999999999996</v>
      </c>
    </row>
    <row r="19" spans="1:11" x14ac:dyDescent="0.4">
      <c r="A19" s="24" t="s">
        <v>1</v>
      </c>
    </row>
    <row r="20" spans="1:11" ht="14.4" x14ac:dyDescent="0.5">
      <c r="A20" s="50" t="s">
        <v>121</v>
      </c>
      <c r="B20" s="3">
        <f>(1-B14)*(1-B15)/(1-B18)</f>
        <v>0.41321356128658349</v>
      </c>
    </row>
    <row r="21" spans="1:11" x14ac:dyDescent="0.4">
      <c r="A21" s="24"/>
    </row>
    <row r="22" spans="1:11" x14ac:dyDescent="0.4">
      <c r="A22" s="24" t="s">
        <v>8</v>
      </c>
    </row>
    <row r="23" spans="1:11" ht="14.4" x14ac:dyDescent="0.5">
      <c r="A23" s="50" t="s">
        <v>122</v>
      </c>
      <c r="B23" s="3">
        <f>(1-B13)*B15</f>
        <v>0.40500000000000003</v>
      </c>
      <c r="D23" s="49"/>
    </row>
    <row r="24" spans="1:11" x14ac:dyDescent="0.4">
      <c r="A24" s="24"/>
    </row>
    <row r="25" spans="1:11" x14ac:dyDescent="0.4">
      <c r="A25" s="24" t="s">
        <v>10</v>
      </c>
    </row>
    <row r="26" spans="1:11" x14ac:dyDescent="0.4">
      <c r="A26" s="24" t="s">
        <v>123</v>
      </c>
      <c r="F26" s="3">
        <f>B18</f>
        <v>0.30979999999999996</v>
      </c>
    </row>
    <row r="27" spans="1:11" ht="12.9" x14ac:dyDescent="0.5">
      <c r="A27" s="24" t="s">
        <v>124</v>
      </c>
      <c r="E27" s="3">
        <f>BINOMDIST(8,10,F26,FALSE)</f>
        <v>1.8189205561550948E-3</v>
      </c>
      <c r="F27" s="38" t="s">
        <v>21</v>
      </c>
      <c r="G27" s="3">
        <f>BINOMDIST(9,10,F26,FALSE)</f>
        <v>1.8142940477698844E-4</v>
      </c>
      <c r="H27" s="52" t="s">
        <v>21</v>
      </c>
      <c r="I27" s="3">
        <f>BINOMDIST(10,10,F26,FALSE)</f>
        <v>8.1435568820502692E-6</v>
      </c>
      <c r="J27" s="52" t="s">
        <v>11</v>
      </c>
      <c r="K27" s="3">
        <f>I27+G27+E27</f>
        <v>2.0084935178141337E-3</v>
      </c>
    </row>
    <row r="29" spans="1:11" x14ac:dyDescent="0.4">
      <c r="A29" s="24"/>
    </row>
    <row r="30" spans="1:11" x14ac:dyDescent="0.4">
      <c r="A30" s="24"/>
    </row>
    <row r="31" spans="1:11" x14ac:dyDescent="0.4">
      <c r="A31" s="24"/>
    </row>
    <row r="32" spans="1:11" x14ac:dyDescent="0.4">
      <c r="A32" s="24"/>
    </row>
  </sheetData>
  <mergeCells count="1">
    <mergeCell ref="B10:D1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zoomScaleNormal="100" workbookViewId="0">
      <selection activeCell="B16" sqref="B16"/>
    </sheetView>
  </sheetViews>
  <sheetFormatPr defaultColWidth="9.109375" defaultRowHeight="12.3" x14ac:dyDescent="0.4"/>
  <cols>
    <col min="1" max="1" width="12.6640625" style="3" customWidth="1"/>
    <col min="2" max="2" width="6.88671875" style="3" customWidth="1"/>
    <col min="3" max="3" width="6.33203125" style="3" customWidth="1"/>
    <col min="4" max="4" width="6.109375" style="3" customWidth="1"/>
    <col min="5" max="5" width="11.88671875" style="3" customWidth="1"/>
    <col min="6" max="6" width="8.33203125" style="3" customWidth="1"/>
    <col min="7" max="7" width="5.88671875" style="3" customWidth="1"/>
    <col min="8" max="8" width="6.109375" style="3" customWidth="1"/>
    <col min="9" max="9" width="6.5546875" style="3" customWidth="1"/>
    <col min="10" max="10" width="6.6640625" style="3" customWidth="1"/>
    <col min="11" max="16384" width="9.109375" style="3"/>
  </cols>
  <sheetData>
    <row r="1" spans="1:7" ht="15" x14ac:dyDescent="0.5">
      <c r="A1" s="2" t="s">
        <v>87</v>
      </c>
      <c r="B1" s="4"/>
    </row>
    <row r="2" spans="1:7" ht="15" x14ac:dyDescent="0.5">
      <c r="A2" s="2" t="s">
        <v>130</v>
      </c>
      <c r="B2" s="4"/>
    </row>
    <row r="3" spans="1:7" x14ac:dyDescent="0.4">
      <c r="A3" s="2" t="s">
        <v>88</v>
      </c>
      <c r="B3" s="10"/>
    </row>
    <row r="4" spans="1:7" x14ac:dyDescent="0.4">
      <c r="A4" s="2" t="s">
        <v>89</v>
      </c>
      <c r="B4" s="10"/>
    </row>
    <row r="5" spans="1:7" x14ac:dyDescent="0.4">
      <c r="A5" s="2" t="s">
        <v>90</v>
      </c>
      <c r="B5" s="10"/>
      <c r="C5" s="10"/>
      <c r="D5" s="10"/>
      <c r="E5" s="10"/>
      <c r="F5" s="10"/>
      <c r="G5" s="10"/>
    </row>
    <row r="6" spans="1:7" x14ac:dyDescent="0.4">
      <c r="A6" s="22" t="s">
        <v>91</v>
      </c>
      <c r="B6" s="10"/>
      <c r="F6" s="17"/>
      <c r="G6" s="17"/>
    </row>
    <row r="7" spans="1:7" x14ac:dyDescent="0.4">
      <c r="A7" s="10"/>
      <c r="B7" s="23"/>
    </row>
    <row r="8" spans="1:7" x14ac:dyDescent="0.4">
      <c r="A8" s="9" t="s">
        <v>9</v>
      </c>
      <c r="B8" s="23"/>
    </row>
    <row r="9" spans="1:7" x14ac:dyDescent="0.4">
      <c r="A9" s="49" t="s">
        <v>92</v>
      </c>
    </row>
    <row r="10" spans="1:7" x14ac:dyDescent="0.4">
      <c r="A10" s="49" t="s">
        <v>29</v>
      </c>
    </row>
    <row r="11" spans="1:7" x14ac:dyDescent="0.4">
      <c r="A11" s="49" t="s">
        <v>30</v>
      </c>
      <c r="B11" s="3">
        <v>2800</v>
      </c>
      <c r="C11" s="49" t="s">
        <v>31</v>
      </c>
      <c r="D11" s="3">
        <v>400</v>
      </c>
    </row>
    <row r="12" spans="1:7" s="9" customFormat="1" x14ac:dyDescent="0.4">
      <c r="A12" s="50" t="s">
        <v>93</v>
      </c>
      <c r="B12" s="12"/>
      <c r="C12" s="12">
        <f>(3000-B11)/D11</f>
        <v>0.5</v>
      </c>
      <c r="D12" s="44" t="s">
        <v>32</v>
      </c>
      <c r="E12" s="12">
        <f>1-NORMSDIST(C12)</f>
        <v>0.30853753872598688</v>
      </c>
    </row>
    <row r="13" spans="1:7" s="9" customFormat="1" x14ac:dyDescent="0.4">
      <c r="A13" s="43"/>
      <c r="B13" s="44"/>
      <c r="C13" s="29"/>
      <c r="D13" s="29"/>
      <c r="E13" s="29"/>
    </row>
    <row r="14" spans="1:7" s="9" customFormat="1" x14ac:dyDescent="0.4">
      <c r="A14" s="12" t="s">
        <v>1</v>
      </c>
      <c r="B14" s="44"/>
      <c r="C14" s="29"/>
      <c r="D14" s="29"/>
      <c r="E14" s="29"/>
    </row>
    <row r="15" spans="1:7" s="9" customFormat="1" x14ac:dyDescent="0.4">
      <c r="A15" s="12" t="s">
        <v>33</v>
      </c>
      <c r="B15" s="43"/>
      <c r="C15" s="29"/>
      <c r="D15" s="29">
        <v>0.3</v>
      </c>
      <c r="E15" s="29"/>
    </row>
    <row r="16" spans="1:7" s="9" customFormat="1" x14ac:dyDescent="0.4">
      <c r="A16" s="12" t="s">
        <v>34</v>
      </c>
      <c r="B16" s="44">
        <f>NORMSINV(D15)</f>
        <v>-0.52440051270804089</v>
      </c>
      <c r="C16" s="29"/>
      <c r="D16" s="29" t="s">
        <v>35</v>
      </c>
      <c r="E16" s="29">
        <f>B16*D11+B11</f>
        <v>2590.2397949167835</v>
      </c>
    </row>
    <row r="17" spans="1:8" s="9" customFormat="1" x14ac:dyDescent="0.4">
      <c r="A17" s="12"/>
      <c r="B17" s="44"/>
      <c r="C17" s="29"/>
      <c r="D17" s="29"/>
      <c r="E17" s="29"/>
    </row>
    <row r="18" spans="1:8" s="9" customFormat="1" x14ac:dyDescent="0.4">
      <c r="A18" s="12" t="s">
        <v>8</v>
      </c>
      <c r="B18" s="44"/>
      <c r="C18" s="29"/>
      <c r="D18" s="29"/>
      <c r="E18" s="29"/>
    </row>
    <row r="19" spans="1:8" s="9" customFormat="1" x14ac:dyDescent="0.4">
      <c r="A19" s="12" t="s">
        <v>94</v>
      </c>
      <c r="B19" s="44"/>
      <c r="C19" s="29"/>
      <c r="D19" s="29" t="s">
        <v>36</v>
      </c>
      <c r="E19" s="29"/>
    </row>
    <row r="20" spans="1:8" s="9" customFormat="1" x14ac:dyDescent="0.4">
      <c r="A20" s="49" t="s">
        <v>30</v>
      </c>
      <c r="B20" s="3">
        <f>B11*5</f>
        <v>14000</v>
      </c>
      <c r="C20" s="49" t="s">
        <v>31</v>
      </c>
      <c r="D20" s="49">
        <f>SQRT(D11^2*5)</f>
        <v>894.42719099991587</v>
      </c>
      <c r="E20" s="3"/>
    </row>
    <row r="21" spans="1:8" s="9" customFormat="1" x14ac:dyDescent="0.4">
      <c r="A21" s="50" t="s">
        <v>95</v>
      </c>
      <c r="B21" s="12"/>
      <c r="C21" s="12">
        <f>(10000-B20)/D20</f>
        <v>-4.4721359549995796</v>
      </c>
      <c r="D21" s="44" t="s">
        <v>32</v>
      </c>
      <c r="E21" s="12">
        <f>1-NORMSDIST(C21)</f>
        <v>0.99999612789178449</v>
      </c>
    </row>
    <row r="22" spans="1:8" s="9" customFormat="1" x14ac:dyDescent="0.4">
      <c r="A22" s="12"/>
      <c r="B22" s="44"/>
      <c r="C22" s="29"/>
      <c r="D22" s="29"/>
      <c r="E22" s="29"/>
    </row>
    <row r="23" spans="1:8" s="9" customFormat="1" x14ac:dyDescent="0.4">
      <c r="A23" s="12" t="s">
        <v>10</v>
      </c>
      <c r="B23" s="44"/>
      <c r="C23" s="29"/>
      <c r="D23" s="29"/>
      <c r="E23" s="29"/>
    </row>
    <row r="24" spans="1:8" s="9" customFormat="1" x14ac:dyDescent="0.4">
      <c r="A24" s="43" t="s">
        <v>96</v>
      </c>
      <c r="B24" s="44"/>
      <c r="C24" s="12"/>
      <c r="D24" s="12"/>
      <c r="E24" s="12"/>
      <c r="F24" s="45"/>
    </row>
    <row r="25" spans="1:8" s="9" customFormat="1" x14ac:dyDescent="0.4">
      <c r="A25" s="43" t="s">
        <v>23</v>
      </c>
      <c r="B25" s="5"/>
      <c r="C25" s="12"/>
      <c r="D25" s="5"/>
      <c r="E25" s="46">
        <v>5</v>
      </c>
      <c r="F25" s="3" t="s">
        <v>22</v>
      </c>
      <c r="G25" s="3">
        <f>E12</f>
        <v>0.30853753872598688</v>
      </c>
    </row>
    <row r="26" spans="1:8" s="9" customFormat="1" x14ac:dyDescent="0.4">
      <c r="A26" s="43" t="s">
        <v>97</v>
      </c>
      <c r="B26" s="13">
        <f>BINOMDIST(0,E25,G25,FALSE)</f>
        <v>0.15806766526794699</v>
      </c>
      <c r="C26" s="44" t="s">
        <v>21</v>
      </c>
      <c r="D26" s="12">
        <f>BINOMDIST(1,E25,G25,FALSE)</f>
        <v>0.35265694904158368</v>
      </c>
      <c r="E26" s="44" t="s">
        <v>21</v>
      </c>
      <c r="F26" s="9">
        <f>BINOMDIST(2,E25,G25,FALSE)</f>
        <v>0.31471818982458838</v>
      </c>
      <c r="G26" s="81" t="s">
        <v>11</v>
      </c>
      <c r="H26" s="9">
        <f>SUM(F26,D26,B26)</f>
        <v>0.82544280413411908</v>
      </c>
    </row>
    <row r="27" spans="1:8" ht="15" x14ac:dyDescent="0.5">
      <c r="A27" s="25"/>
      <c r="B27"/>
      <c r="C27"/>
      <c r="D27"/>
      <c r="E27" s="30"/>
    </row>
    <row r="28" spans="1:8" x14ac:dyDescent="0.4">
      <c r="A28" s="47"/>
    </row>
    <row r="29" spans="1:8" ht="15" x14ac:dyDescent="0.5">
      <c r="A29" s="35"/>
    </row>
    <row r="30" spans="1:8" ht="15" x14ac:dyDescent="0.5">
      <c r="A30" s="36"/>
    </row>
    <row r="32" spans="1:8" ht="15" x14ac:dyDescent="0.5">
      <c r="A32" s="36"/>
    </row>
    <row r="33" spans="1:1" ht="15" x14ac:dyDescent="0.5">
      <c r="A33" s="36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5"/>
  <sheetViews>
    <sheetView topLeftCell="A15" zoomScaleNormal="100" workbookViewId="0">
      <selection activeCell="B44" sqref="B44"/>
    </sheetView>
  </sheetViews>
  <sheetFormatPr defaultColWidth="9.109375" defaultRowHeight="12.3" x14ac:dyDescent="0.4"/>
  <cols>
    <col min="1" max="1" width="14" style="3" customWidth="1"/>
    <col min="2" max="2" width="9.5546875" style="3" customWidth="1"/>
    <col min="3" max="3" width="9.109375" style="3"/>
    <col min="4" max="4" width="7.5546875" style="3" customWidth="1"/>
    <col min="5" max="5" width="11.109375" style="3" customWidth="1"/>
    <col min="6" max="6" width="8.109375" style="3" customWidth="1"/>
    <col min="7" max="7" width="5.5546875" style="3" customWidth="1"/>
    <col min="8" max="8" width="6.5546875" style="3" customWidth="1"/>
    <col min="9" max="9" width="9.88671875" style="3" customWidth="1"/>
    <col min="10" max="10" width="7.6640625" style="3" customWidth="1"/>
    <col min="11" max="14" width="9.109375" style="3"/>
    <col min="15" max="15" width="12.5546875" style="3" bestFit="1" customWidth="1"/>
    <col min="16" max="16384" width="9.109375" style="3"/>
  </cols>
  <sheetData>
    <row r="1" spans="1:8" x14ac:dyDescent="0.4">
      <c r="A1" s="2" t="s">
        <v>98</v>
      </c>
      <c r="B1" s="2"/>
    </row>
    <row r="2" spans="1:8" x14ac:dyDescent="0.4">
      <c r="A2" s="2"/>
      <c r="B2" s="2"/>
    </row>
    <row r="3" spans="1:8" x14ac:dyDescent="0.4">
      <c r="A3" s="2"/>
      <c r="B3" s="2"/>
    </row>
    <row r="4" spans="1:8" s="39" customFormat="1" x14ac:dyDescent="0.4">
      <c r="A4" s="28">
        <v>201</v>
      </c>
      <c r="B4" s="2">
        <v>210</v>
      </c>
      <c r="C4" s="39">
        <v>194</v>
      </c>
      <c r="D4" s="39">
        <v>221</v>
      </c>
      <c r="E4" s="39">
        <v>208</v>
      </c>
      <c r="F4" s="40"/>
      <c r="G4" s="40"/>
    </row>
    <row r="5" spans="1:8" s="39" customFormat="1" x14ac:dyDescent="0.4">
      <c r="A5" s="28"/>
      <c r="B5" s="2"/>
      <c r="F5" s="40"/>
      <c r="G5" s="40"/>
    </row>
    <row r="6" spans="1:8" x14ac:dyDescent="0.4">
      <c r="A6" s="2" t="s">
        <v>99</v>
      </c>
      <c r="B6" s="2"/>
    </row>
    <row r="7" spans="1:8" x14ac:dyDescent="0.4">
      <c r="A7" s="2" t="s">
        <v>131</v>
      </c>
      <c r="B7" s="2"/>
    </row>
    <row r="8" spans="1:8" x14ac:dyDescent="0.4">
      <c r="A8" s="2" t="s">
        <v>104</v>
      </c>
      <c r="B8" s="2"/>
    </row>
    <row r="9" spans="1:8" x14ac:dyDescent="0.4">
      <c r="A9" s="2" t="s">
        <v>100</v>
      </c>
      <c r="B9" s="2"/>
    </row>
    <row r="10" spans="1:8" x14ac:dyDescent="0.4">
      <c r="A10" s="10"/>
      <c r="B10" s="14"/>
      <c r="C10" s="14"/>
      <c r="D10" s="14"/>
      <c r="E10" s="14"/>
      <c r="F10" s="14"/>
      <c r="G10" s="14"/>
      <c r="H10" s="10"/>
    </row>
    <row r="11" spans="1:8" ht="15" customHeight="1" x14ac:dyDescent="0.4">
      <c r="A11" s="21" t="s">
        <v>0</v>
      </c>
      <c r="B11" s="10"/>
      <c r="C11" s="10"/>
      <c r="D11" s="10"/>
      <c r="E11" s="10"/>
      <c r="F11" s="10"/>
      <c r="G11" s="10"/>
      <c r="H11" s="10"/>
    </row>
    <row r="12" spans="1:8" x14ac:dyDescent="0.4">
      <c r="A12" s="15" t="s">
        <v>2</v>
      </c>
      <c r="B12" s="9">
        <v>5</v>
      </c>
      <c r="C12" s="9"/>
      <c r="D12" s="9"/>
      <c r="E12" s="9"/>
    </row>
    <row r="13" spans="1:8" x14ac:dyDescent="0.4">
      <c r="A13" s="20" t="s">
        <v>3</v>
      </c>
      <c r="B13" s="5">
        <f>AVERAGE(A4:E4)</f>
        <v>206.8</v>
      </c>
      <c r="C13" s="9"/>
      <c r="D13" s="9"/>
      <c r="E13" s="9"/>
    </row>
    <row r="14" spans="1:8" ht="13.8" x14ac:dyDescent="0.4">
      <c r="A14" s="48" t="s">
        <v>101</v>
      </c>
      <c r="B14" s="5">
        <f>_xlfn.VAR.S(A4:E4)</f>
        <v>102.7</v>
      </c>
      <c r="C14" s="9"/>
      <c r="D14" s="9"/>
      <c r="E14" s="9"/>
    </row>
    <row r="15" spans="1:8" x14ac:dyDescent="0.4">
      <c r="A15" s="6" t="s">
        <v>13</v>
      </c>
      <c r="B15" s="5">
        <v>0.99</v>
      </c>
      <c r="C15" s="9"/>
      <c r="D15" s="9"/>
      <c r="E15" s="9"/>
    </row>
    <row r="16" spans="1:8" ht="14.7" x14ac:dyDescent="0.6">
      <c r="A16" s="48" t="s">
        <v>102</v>
      </c>
      <c r="B16" s="5">
        <f>TINV(1-B15,B12-1)</f>
        <v>4.6040948713499921</v>
      </c>
    </row>
    <row r="17" spans="1:5" x14ac:dyDescent="0.4">
      <c r="A17" s="5" t="s">
        <v>5</v>
      </c>
      <c r="B17" s="5"/>
      <c r="C17" s="9"/>
      <c r="E17" s="18">
        <f>B13-B16*SQRT(B14/B12)</f>
        <v>185.93374628584718</v>
      </c>
    </row>
    <row r="18" spans="1:5" x14ac:dyDescent="0.4">
      <c r="A18" s="5" t="s">
        <v>6</v>
      </c>
      <c r="B18" s="5"/>
      <c r="C18" s="9"/>
      <c r="D18" s="18"/>
      <c r="E18" s="3">
        <f>B13+B16*SQRT(B14/B12)</f>
        <v>227.66625371415284</v>
      </c>
    </row>
    <row r="19" spans="1:5" x14ac:dyDescent="0.4">
      <c r="A19" s="5"/>
      <c r="B19" s="18"/>
    </row>
    <row r="20" spans="1:5" x14ac:dyDescent="0.4">
      <c r="A20" s="5"/>
      <c r="B20" s="5"/>
    </row>
    <row r="21" spans="1:5" x14ac:dyDescent="0.4">
      <c r="A21" s="49" t="s">
        <v>1</v>
      </c>
    </row>
    <row r="22" spans="1:5" ht="14.7" x14ac:dyDescent="0.6">
      <c r="A22" s="17" t="s">
        <v>24</v>
      </c>
      <c r="B22" s="3">
        <v>200</v>
      </c>
    </row>
    <row r="23" spans="1:5" ht="14.7" x14ac:dyDescent="0.6">
      <c r="A23" s="17" t="s">
        <v>25</v>
      </c>
      <c r="B23" s="3">
        <v>200</v>
      </c>
    </row>
    <row r="24" spans="1:5" x14ac:dyDescent="0.4">
      <c r="A24" s="6" t="s">
        <v>4</v>
      </c>
      <c r="B24" s="5">
        <v>0.05</v>
      </c>
    </row>
    <row r="25" spans="1:5" ht="14.7" x14ac:dyDescent="0.6">
      <c r="A25" s="48" t="s">
        <v>125</v>
      </c>
      <c r="B25" s="5">
        <f>TINV(B24*2,B12-1)</f>
        <v>2.1318467863266499</v>
      </c>
    </row>
    <row r="26" spans="1:5" x14ac:dyDescent="0.4">
      <c r="A26" s="9" t="s">
        <v>16</v>
      </c>
      <c r="B26" s="3">
        <f>(B13-B22)/SQRT(B14/B12)</f>
        <v>1.5004056575783411</v>
      </c>
    </row>
    <row r="28" spans="1:5" x14ac:dyDescent="0.4">
      <c r="A28" s="17" t="s">
        <v>44</v>
      </c>
    </row>
    <row r="30" spans="1:5" x14ac:dyDescent="0.4">
      <c r="A30" s="50" t="s">
        <v>8</v>
      </c>
    </row>
    <row r="31" spans="1:5" ht="14.7" x14ac:dyDescent="0.6">
      <c r="A31" s="48" t="s">
        <v>15</v>
      </c>
      <c r="B31" s="5">
        <f>_xlfn.NORM.S.INV(1-B24)</f>
        <v>1.6448536269514715</v>
      </c>
    </row>
    <row r="32" spans="1:5" ht="13.8" x14ac:dyDescent="0.4">
      <c r="A32" s="6" t="s">
        <v>103</v>
      </c>
      <c r="B32" s="3">
        <v>36</v>
      </c>
    </row>
    <row r="33" spans="1:15" x14ac:dyDescent="0.4">
      <c r="A33" s="50" t="s">
        <v>105</v>
      </c>
      <c r="B33" s="3">
        <f>B31-(210-B22)/SQRT(B32/B12)</f>
        <v>-2.0819263355481779</v>
      </c>
      <c r="C33" s="3" t="s">
        <v>19</v>
      </c>
      <c r="D33" s="3">
        <f>1-NORMSDIST(B33)</f>
        <v>0.98132540058119599</v>
      </c>
    </row>
    <row r="35" spans="1:15" x14ac:dyDescent="0.4">
      <c r="A35" s="49" t="s">
        <v>10</v>
      </c>
    </row>
    <row r="36" spans="1:15" x14ac:dyDescent="0.4">
      <c r="A36" s="50" t="s">
        <v>41</v>
      </c>
      <c r="C36" s="3">
        <f>A4-$B13</f>
        <v>-5.8000000000000114</v>
      </c>
      <c r="D36" s="3">
        <f t="shared" ref="D36:G36" si="0">B4-$B13</f>
        <v>3.1999999999999886</v>
      </c>
      <c r="E36" s="3">
        <f t="shared" si="0"/>
        <v>-12.800000000000011</v>
      </c>
      <c r="F36" s="3">
        <f t="shared" si="0"/>
        <v>14.199999999999989</v>
      </c>
      <c r="G36" s="3">
        <f t="shared" si="0"/>
        <v>1.1999999999999886</v>
      </c>
      <c r="O36" s="17"/>
    </row>
    <row r="37" spans="1:15" x14ac:dyDescent="0.4">
      <c r="A37" s="50" t="s">
        <v>42</v>
      </c>
      <c r="C37" s="3">
        <f>C36^2</f>
        <v>33.640000000000128</v>
      </c>
      <c r="D37" s="3">
        <f t="shared" ref="D37:G37" si="1">D36^2</f>
        <v>10.239999999999927</v>
      </c>
      <c r="E37" s="3">
        <f t="shared" si="1"/>
        <v>163.84000000000029</v>
      </c>
      <c r="F37" s="3">
        <f t="shared" si="1"/>
        <v>201.63999999999967</v>
      </c>
      <c r="G37" s="3">
        <f t="shared" si="1"/>
        <v>1.4399999999999726</v>
      </c>
      <c r="H37" s="17">
        <f>SUM(C37:G37)</f>
        <v>410.8</v>
      </c>
      <c r="O37" s="17"/>
    </row>
    <row r="38" spans="1:15" ht="13.8" x14ac:dyDescent="0.4">
      <c r="A38" s="50" t="s">
        <v>43</v>
      </c>
      <c r="B38" s="3">
        <f>H37/(B12-1)</f>
        <v>102.7</v>
      </c>
    </row>
    <row r="39" spans="1:15" ht="15" x14ac:dyDescent="0.6">
      <c r="A39" s="50" t="s">
        <v>37</v>
      </c>
      <c r="B39" s="3">
        <v>36</v>
      </c>
    </row>
    <row r="40" spans="1:15" ht="15" x14ac:dyDescent="0.6">
      <c r="A40" s="50" t="s">
        <v>38</v>
      </c>
      <c r="B40" s="3">
        <v>36</v>
      </c>
    </row>
    <row r="41" spans="1:15" x14ac:dyDescent="0.4">
      <c r="A41" s="6" t="s">
        <v>4</v>
      </c>
      <c r="B41" s="5">
        <v>0.01</v>
      </c>
    </row>
    <row r="42" spans="1:15" ht="14.7" x14ac:dyDescent="0.6">
      <c r="A42" s="48" t="s">
        <v>39</v>
      </c>
      <c r="B42" s="5">
        <f>CHIINV(1-B41/2,B12-1)</f>
        <v>0.20698909349618236</v>
      </c>
    </row>
    <row r="43" spans="1:15" ht="14.7" x14ac:dyDescent="0.6">
      <c r="A43" s="48" t="s">
        <v>40</v>
      </c>
      <c r="B43" s="5">
        <f>CHIINV(B41/2,B12-1)</f>
        <v>14.860259000560244</v>
      </c>
    </row>
    <row r="44" spans="1:15" x14ac:dyDescent="0.4">
      <c r="A44" s="9" t="s">
        <v>16</v>
      </c>
      <c r="B44" s="3">
        <f>(B12-1)*B38/B32</f>
        <v>11.411111111111111</v>
      </c>
    </row>
    <row r="45" spans="1:15" x14ac:dyDescent="0.4">
      <c r="A45" s="50" t="s">
        <v>44</v>
      </c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tabSelected="1" topLeftCell="A11" zoomScaleNormal="100" workbookViewId="0">
      <selection activeCell="B40" sqref="B40"/>
    </sheetView>
  </sheetViews>
  <sheetFormatPr defaultRowHeight="12.3" x14ac:dyDescent="0.4"/>
  <cols>
    <col min="1" max="1" width="14.44140625" customWidth="1"/>
    <col min="2" max="2" width="8" customWidth="1"/>
    <col min="4" max="4" width="11.6640625" customWidth="1"/>
    <col min="5" max="5" width="7.33203125" customWidth="1"/>
    <col min="7" max="7" width="12.5546875" customWidth="1"/>
  </cols>
  <sheetData>
    <row r="1" spans="1:6" ht="15" x14ac:dyDescent="0.5">
      <c r="A1" s="1" t="s">
        <v>132</v>
      </c>
      <c r="B1" s="1"/>
      <c r="C1" s="1"/>
    </row>
    <row r="2" spans="1:6" ht="15" x14ac:dyDescent="0.5">
      <c r="A2" s="11" t="s">
        <v>106</v>
      </c>
      <c r="B2" s="1"/>
      <c r="D2" s="1"/>
      <c r="E2" s="1"/>
      <c r="F2" s="1"/>
    </row>
    <row r="3" spans="1:6" ht="15" x14ac:dyDescent="0.5">
      <c r="A3" s="11" t="s">
        <v>107</v>
      </c>
      <c r="B3" s="1"/>
      <c r="D3" s="1"/>
      <c r="E3" s="1"/>
      <c r="F3" s="1"/>
    </row>
    <row r="4" spans="1:6" ht="15" x14ac:dyDescent="0.5">
      <c r="A4" s="11" t="s">
        <v>108</v>
      </c>
      <c r="B4" s="1"/>
      <c r="D4" s="1"/>
      <c r="E4" s="1"/>
      <c r="F4" s="1"/>
    </row>
    <row r="5" spans="1:6" ht="15" x14ac:dyDescent="0.5">
      <c r="A5" s="1" t="s">
        <v>133</v>
      </c>
      <c r="B5" s="1"/>
      <c r="D5" s="1"/>
      <c r="E5" s="1"/>
      <c r="F5" s="1"/>
    </row>
    <row r="6" spans="1:6" ht="15" x14ac:dyDescent="0.5">
      <c r="A6" s="11" t="s">
        <v>109</v>
      </c>
      <c r="B6" s="12"/>
      <c r="C6" s="12"/>
      <c r="D6" s="12"/>
      <c r="E6" s="12"/>
      <c r="F6" s="12"/>
    </row>
    <row r="7" spans="1:6" x14ac:dyDescent="0.4">
      <c r="B7" s="5"/>
      <c r="C7" s="12"/>
      <c r="D7" s="12"/>
      <c r="E7" s="12"/>
      <c r="F7" s="12"/>
    </row>
    <row r="8" spans="1:6" x14ac:dyDescent="0.4">
      <c r="B8" s="5"/>
      <c r="C8" s="12"/>
      <c r="D8" s="12"/>
      <c r="E8" s="12"/>
      <c r="F8" s="12"/>
    </row>
    <row r="9" spans="1:6" ht="15" x14ac:dyDescent="0.5">
      <c r="A9" s="25"/>
      <c r="B9" s="26"/>
      <c r="C9" s="12"/>
      <c r="D9" s="12"/>
      <c r="E9" s="12"/>
      <c r="F9" s="12"/>
    </row>
    <row r="10" spans="1:6" x14ac:dyDescent="0.4">
      <c r="A10" s="21" t="s">
        <v>0</v>
      </c>
      <c r="B10" s="10"/>
      <c r="C10" s="10"/>
      <c r="D10" s="10"/>
      <c r="E10" s="10"/>
      <c r="F10" s="10"/>
    </row>
    <row r="11" spans="1:6" ht="15" x14ac:dyDescent="0.5">
      <c r="A11" s="15" t="s">
        <v>2</v>
      </c>
      <c r="B11" s="19">
        <v>450</v>
      </c>
      <c r="C11" s="9"/>
      <c r="D11" s="9"/>
      <c r="E11" s="9"/>
      <c r="F11" s="3"/>
    </row>
    <row r="12" spans="1:6" x14ac:dyDescent="0.4">
      <c r="A12" s="20" t="s">
        <v>12</v>
      </c>
      <c r="B12" s="5">
        <f>180/B11</f>
        <v>0.4</v>
      </c>
      <c r="C12" s="9"/>
      <c r="D12" s="9"/>
      <c r="E12" s="9"/>
      <c r="F12" s="3"/>
    </row>
    <row r="13" spans="1:6" x14ac:dyDescent="0.4">
      <c r="A13" s="6" t="s">
        <v>13</v>
      </c>
      <c r="B13" s="5">
        <v>0.95</v>
      </c>
      <c r="C13" s="9"/>
      <c r="D13" s="9"/>
      <c r="E13" s="9"/>
      <c r="F13" s="3"/>
    </row>
    <row r="14" spans="1:6" ht="14.7" x14ac:dyDescent="0.6">
      <c r="A14" s="5" t="s">
        <v>7</v>
      </c>
      <c r="B14" s="5">
        <f>NORMSINV(1-(1-B13)/2)</f>
        <v>1.9599639845400536</v>
      </c>
      <c r="C14" s="3"/>
      <c r="D14" s="3"/>
      <c r="E14" s="3"/>
      <c r="F14" s="3"/>
    </row>
    <row r="15" spans="1:6" x14ac:dyDescent="0.4">
      <c r="A15" s="5" t="s">
        <v>5</v>
      </c>
      <c r="B15" s="5"/>
      <c r="C15" s="9"/>
      <c r="D15" s="3"/>
      <c r="E15" s="18">
        <f>B12-B14*SQRT(B12*(1-B12)/B11)</f>
        <v>0.35473657063695319</v>
      </c>
      <c r="F15" s="3"/>
    </row>
    <row r="16" spans="1:6" x14ac:dyDescent="0.4">
      <c r="A16" s="5" t="s">
        <v>6</v>
      </c>
      <c r="B16" s="5"/>
      <c r="C16" s="9"/>
      <c r="D16" s="18"/>
      <c r="E16" s="3">
        <f>B12+B14*SQRT(B12*(1-B12)/B11)</f>
        <v>0.44526342936304686</v>
      </c>
      <c r="F16" s="3"/>
    </row>
    <row r="17" spans="1:6" x14ac:dyDescent="0.4">
      <c r="A17" s="5"/>
      <c r="B17" s="18"/>
      <c r="C17" s="3"/>
      <c r="D17" s="3"/>
      <c r="E17" s="3"/>
      <c r="F17" s="3"/>
    </row>
    <row r="18" spans="1:6" x14ac:dyDescent="0.4">
      <c r="A18" s="5" t="s">
        <v>1</v>
      </c>
      <c r="B18" s="5"/>
      <c r="C18" s="3"/>
      <c r="D18" s="3"/>
      <c r="E18" s="3"/>
      <c r="F18" s="3"/>
    </row>
    <row r="19" spans="1:6" x14ac:dyDescent="0.4">
      <c r="A19" s="6" t="s">
        <v>13</v>
      </c>
      <c r="B19" s="5">
        <v>0.99</v>
      </c>
      <c r="C19" s="9"/>
      <c r="D19" s="9"/>
      <c r="E19" s="9"/>
      <c r="F19" s="3"/>
    </row>
    <row r="20" spans="1:6" ht="14.7" x14ac:dyDescent="0.6">
      <c r="A20" s="5" t="s">
        <v>7</v>
      </c>
      <c r="B20" s="5">
        <f>NORMSINV(1-(1-B19)/2)</f>
        <v>2.5758293035488999</v>
      </c>
      <c r="C20" s="3"/>
      <c r="D20" s="3"/>
      <c r="E20" s="3"/>
      <c r="F20" s="3"/>
    </row>
    <row r="21" spans="1:6" x14ac:dyDescent="0.4">
      <c r="A21" s="5" t="s">
        <v>14</v>
      </c>
      <c r="B21">
        <v>0.05</v>
      </c>
      <c r="C21" s="3"/>
      <c r="D21" s="3"/>
      <c r="E21" s="3"/>
      <c r="F21" s="3"/>
    </row>
    <row r="22" spans="1:6" x14ac:dyDescent="0.4">
      <c r="A22" s="9" t="s">
        <v>2</v>
      </c>
      <c r="B22" s="3">
        <f>4*B20^2*B12*(1-B12)/B21^2</f>
        <v>2547.800294792145</v>
      </c>
      <c r="C22" s="3"/>
      <c r="D22" s="3"/>
      <c r="E22" s="3"/>
      <c r="F22" s="3"/>
    </row>
    <row r="23" spans="1:6" x14ac:dyDescent="0.4">
      <c r="A23" s="3"/>
      <c r="B23" s="3"/>
      <c r="C23" s="3"/>
      <c r="D23" s="3"/>
      <c r="E23" s="3"/>
      <c r="F23" s="3"/>
    </row>
    <row r="24" spans="1:6" x14ac:dyDescent="0.4">
      <c r="A24" s="17" t="s">
        <v>8</v>
      </c>
      <c r="B24" s="3"/>
      <c r="C24" s="3"/>
      <c r="D24" s="3"/>
      <c r="E24" s="3"/>
      <c r="F24" s="3"/>
    </row>
    <row r="25" spans="1:6" ht="14.7" x14ac:dyDescent="0.6">
      <c r="A25" s="17" t="s">
        <v>17</v>
      </c>
      <c r="B25" s="3">
        <v>0.5</v>
      </c>
      <c r="C25" s="3"/>
      <c r="D25" s="3"/>
      <c r="E25" s="3"/>
      <c r="F25" s="3"/>
    </row>
    <row r="26" spans="1:6" ht="14.7" x14ac:dyDescent="0.6">
      <c r="A26" s="50" t="s">
        <v>110</v>
      </c>
      <c r="B26" s="3">
        <v>0.5</v>
      </c>
      <c r="C26" s="3"/>
      <c r="D26" s="3"/>
      <c r="E26" s="3"/>
      <c r="F26" s="3"/>
    </row>
    <row r="27" spans="1:6" x14ac:dyDescent="0.4">
      <c r="A27" s="6" t="s">
        <v>4</v>
      </c>
      <c r="B27" s="5">
        <v>0.1</v>
      </c>
      <c r="C27" s="3"/>
      <c r="D27" s="3"/>
      <c r="E27" s="3"/>
      <c r="F27" s="3"/>
    </row>
    <row r="28" spans="1:6" ht="14.7" x14ac:dyDescent="0.6">
      <c r="A28" s="75" t="s">
        <v>134</v>
      </c>
      <c r="B28" s="5">
        <f>-NORMSINV(1-B27)</f>
        <v>-1.2815515655446006</v>
      </c>
      <c r="C28" s="3"/>
      <c r="D28" s="3"/>
      <c r="E28" s="3"/>
      <c r="F28" s="3"/>
    </row>
    <row r="29" spans="1:6" x14ac:dyDescent="0.4">
      <c r="A29" s="9" t="s">
        <v>16</v>
      </c>
      <c r="B29" s="3">
        <f>(B12-B25)/SQRT(B25*(1-B25)/B11)</f>
        <v>-4.2426406871192839</v>
      </c>
      <c r="C29" s="3"/>
      <c r="D29" s="3"/>
      <c r="E29" s="3"/>
      <c r="F29" s="3"/>
    </row>
    <row r="30" spans="1:6" x14ac:dyDescent="0.4">
      <c r="A30" s="3"/>
      <c r="B30" s="3"/>
      <c r="C30" s="3"/>
      <c r="D30" s="3"/>
      <c r="E30" s="3"/>
      <c r="F30" s="3"/>
    </row>
    <row r="31" spans="1:6" x14ac:dyDescent="0.4">
      <c r="A31" s="50" t="s">
        <v>28</v>
      </c>
      <c r="B31" s="3"/>
      <c r="C31" s="3"/>
      <c r="D31" s="3"/>
      <c r="E31" s="3"/>
      <c r="F31" s="3"/>
    </row>
    <row r="32" spans="1:6" x14ac:dyDescent="0.4">
      <c r="A32" s="3"/>
      <c r="B32" s="3"/>
      <c r="C32" s="3"/>
      <c r="D32" s="3"/>
      <c r="E32" s="3"/>
      <c r="F32" s="3"/>
    </row>
    <row r="33" spans="1:6" x14ac:dyDescent="0.4">
      <c r="A33" s="17" t="s">
        <v>10</v>
      </c>
      <c r="B33" s="3"/>
      <c r="C33" s="3"/>
      <c r="D33" s="3"/>
      <c r="E33" s="3"/>
      <c r="F33" s="3"/>
    </row>
    <row r="34" spans="1:6" x14ac:dyDescent="0.4">
      <c r="A34" s="17" t="s">
        <v>18</v>
      </c>
      <c r="B34" s="3">
        <f>NORMSDIST(B29)</f>
        <v>1.1045248499292783E-5</v>
      </c>
      <c r="C34" s="3"/>
      <c r="D34" s="3"/>
      <c r="E34" s="3"/>
      <c r="F34" s="3"/>
    </row>
  </sheetData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Foglio2!Area_stampa</vt:lpstr>
      <vt:lpstr>Foglio4!Area_stampa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luisa.scaccia@unimc.it</cp:lastModifiedBy>
  <cp:lastPrinted>2010-12-01T13:54:57Z</cp:lastPrinted>
  <dcterms:created xsi:type="dcterms:W3CDTF">2010-11-23T22:03:56Z</dcterms:created>
  <dcterms:modified xsi:type="dcterms:W3CDTF">2024-02-14T14:00:15Z</dcterms:modified>
</cp:coreProperties>
</file>