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uisa\Statistica\Appello 20231212\"/>
    </mc:Choice>
  </mc:AlternateContent>
  <xr:revisionPtr revIDLastSave="0" documentId="13_ncr:1_{5FCB6366-E8BF-4C2D-92B0-BD147C36E871}" xr6:coauthVersionLast="36" xr6:coauthVersionMax="36" xr10:uidLastSave="{00000000-0000-0000-0000-000000000000}"/>
  <bookViews>
    <workbookView xWindow="240" yWindow="36" windowWidth="15480" windowHeight="9720" activeTab="5" xr2:uid="{00000000-000D-0000-FFFF-FFFF00000000}"/>
  </bookViews>
  <sheets>
    <sheet name="Foglio1" sheetId="3" r:id="rId1"/>
    <sheet name="Foglio2" sheetId="8" r:id="rId2"/>
    <sheet name="Foglio3" sheetId="4" r:id="rId3"/>
    <sheet name="Foglio4" sheetId="5" r:id="rId4"/>
    <sheet name="Foglio5" sheetId="9" r:id="rId5"/>
    <sheet name="Foglio6" sheetId="7" r:id="rId6"/>
  </sheets>
  <definedNames>
    <definedName name="_xlnm.Print_Area" localSheetId="0">Foglio1!$A$1:$O$81</definedName>
    <definedName name="_xlnm.Print_Area" localSheetId="1">Foglio2!#REF!</definedName>
    <definedName name="_xlnm.Print_Area" localSheetId="2">Foglio3!$A$1:$R$10</definedName>
    <definedName name="_xlnm.Print_Area" localSheetId="3">Foglio4!$A$1:$V$51</definedName>
    <definedName name="_xlnm.Print_Area" localSheetId="4">Foglio5!#REF!</definedName>
    <definedName name="_xlnm.Print_Area" localSheetId="5">Foglio6!$A$1:$S$87</definedName>
  </definedNames>
  <calcPr calcId="191029"/>
</workbook>
</file>

<file path=xl/calcChain.xml><?xml version="1.0" encoding="utf-8"?>
<calcChain xmlns="http://schemas.openxmlformats.org/spreadsheetml/2006/main">
  <c r="B35" i="7" l="1"/>
  <c r="B52" i="7"/>
  <c r="B51" i="7"/>
  <c r="F18" i="3"/>
  <c r="G18" i="3"/>
  <c r="H18" i="3"/>
  <c r="F19" i="3"/>
  <c r="G19" i="3"/>
  <c r="H19" i="3"/>
  <c r="G17" i="3"/>
  <c r="H17" i="3"/>
  <c r="F17" i="3"/>
  <c r="C59" i="8"/>
  <c r="L17" i="7" l="1"/>
  <c r="C18" i="9"/>
  <c r="B13" i="9"/>
  <c r="D14" i="5"/>
  <c r="D11" i="5"/>
  <c r="D12" i="5"/>
  <c r="B15" i="5"/>
  <c r="C36" i="3"/>
  <c r="B18" i="3"/>
  <c r="D17" i="3"/>
  <c r="C17" i="3"/>
  <c r="B17" i="3"/>
  <c r="B20" i="7" l="1"/>
  <c r="B17" i="7"/>
  <c r="B38" i="7"/>
  <c r="B37" i="7"/>
  <c r="D26" i="7"/>
  <c r="B26" i="7"/>
  <c r="B18" i="7"/>
  <c r="B53" i="7" l="1"/>
  <c r="E18" i="7"/>
  <c r="B40" i="7"/>
  <c r="C22" i="7"/>
  <c r="D27" i="7"/>
  <c r="D28" i="7"/>
  <c r="C21" i="7"/>
  <c r="D21" i="4" l="1"/>
  <c r="F21" i="4" s="1"/>
  <c r="C17" i="4"/>
  <c r="B18" i="4" s="1"/>
  <c r="D12" i="4"/>
  <c r="F12" i="4" s="1"/>
  <c r="D24" i="4" l="1"/>
  <c r="B24" i="4"/>
  <c r="B25" i="9"/>
  <c r="B34" i="9" s="1"/>
  <c r="B17" i="9"/>
  <c r="B23" i="9" l="1"/>
  <c r="G24" i="4"/>
  <c r="F28" i="9"/>
  <c r="F27" i="9"/>
  <c r="C30" i="9" s="1"/>
  <c r="B32" i="9"/>
  <c r="A23" i="8" l="1"/>
  <c r="B24" i="8"/>
  <c r="A24" i="8"/>
  <c r="B23" i="8"/>
  <c r="B22" i="8"/>
  <c r="A22" i="8"/>
  <c r="B21" i="8"/>
  <c r="A21" i="8"/>
  <c r="B20" i="8"/>
  <c r="A20" i="8"/>
  <c r="A25" i="8" l="1"/>
  <c r="B28" i="8" s="1"/>
  <c r="C21" i="8" s="1"/>
  <c r="B25" i="8"/>
  <c r="B29" i="8" s="1"/>
  <c r="D20" i="8" s="1"/>
  <c r="F20" i="8" s="1"/>
  <c r="C23" i="8" l="1"/>
  <c r="E23" i="8" s="1"/>
  <c r="C20" i="8"/>
  <c r="G20" i="8" s="1"/>
  <c r="C22" i="8"/>
  <c r="E22" i="8" s="1"/>
  <c r="C24" i="8"/>
  <c r="E24" i="8" s="1"/>
  <c r="D21" i="8"/>
  <c r="F21" i="8" s="1"/>
  <c r="D22" i="8"/>
  <c r="F22" i="8" s="1"/>
  <c r="D23" i="8"/>
  <c r="F23" i="8" s="1"/>
  <c r="D24" i="8"/>
  <c r="F24" i="8" s="1"/>
  <c r="E21" i="8"/>
  <c r="G21" i="8" l="1"/>
  <c r="D25" i="8"/>
  <c r="G23" i="8"/>
  <c r="C25" i="8"/>
  <c r="E20" i="8"/>
  <c r="E25" i="8" s="1"/>
  <c r="G22" i="8"/>
  <c r="F25" i="8"/>
  <c r="G24" i="8"/>
  <c r="G25" i="8" l="1"/>
  <c r="B62" i="8" s="1"/>
  <c r="B32" i="8"/>
  <c r="B31" i="8" s="1"/>
  <c r="D10" i="3" l="1"/>
  <c r="E10" i="3"/>
  <c r="C10" i="3"/>
  <c r="F8" i="3"/>
  <c r="F9" i="3"/>
  <c r="B20" i="3" s="1"/>
  <c r="F7" i="3"/>
  <c r="B19" i="3" l="1"/>
  <c r="C33" i="3" s="1"/>
  <c r="C32" i="3"/>
  <c r="C34" i="3"/>
  <c r="F10" i="3"/>
  <c r="B22" i="3" s="1"/>
  <c r="B24" i="3" l="1"/>
  <c r="C26" i="3"/>
  <c r="B28" i="3" l="1"/>
  <c r="B8" i="5" l="1"/>
  <c r="B21" i="5" l="1"/>
  <c r="B17" i="5"/>
  <c r="B27" i="5" l="1"/>
  <c r="B26" i="5"/>
  <c r="B22" i="5"/>
  <c r="B28" i="5" l="1"/>
</calcChain>
</file>

<file path=xl/sharedStrings.xml><?xml version="1.0" encoding="utf-8"?>
<sst xmlns="http://schemas.openxmlformats.org/spreadsheetml/2006/main" count="174" uniqueCount="142">
  <si>
    <t>a)</t>
  </si>
  <si>
    <t>b)</t>
  </si>
  <si>
    <t>Valori centrali di classe:</t>
  </si>
  <si>
    <t>Medie condizionate:</t>
  </si>
  <si>
    <t>media generale =</t>
  </si>
  <si>
    <t>Varianza totale=</t>
  </si>
  <si>
    <t>Varianza delle medie di classe =</t>
  </si>
  <si>
    <t>h =</t>
  </si>
  <si>
    <t>Media delle varianze di classe =</t>
  </si>
  <si>
    <t>m =</t>
  </si>
  <si>
    <t>c)</t>
  </si>
  <si>
    <t>P(A) =</t>
  </si>
  <si>
    <t>P(B) =</t>
  </si>
  <si>
    <t>P(D|A) =</t>
  </si>
  <si>
    <t>P(D|B) =</t>
  </si>
  <si>
    <t>n =</t>
  </si>
  <si>
    <r>
      <t>a</t>
    </r>
    <r>
      <rPr>
        <sz val="10"/>
        <rFont val="Arial"/>
        <family val="2"/>
      </rPr>
      <t xml:space="preserve"> =</t>
    </r>
  </si>
  <si>
    <t>xm =</t>
  </si>
  <si>
    <r>
      <t>s</t>
    </r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>=</t>
    </r>
  </si>
  <si>
    <r>
      <t>t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</si>
  <si>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t>t =</t>
  </si>
  <si>
    <t>Un negozio si rifornisce di un certo prodotto da due soli fornitori, A e B.</t>
  </si>
  <si>
    <t>a) Calcolare la probabilità di osservare un pezzo difettoso sul totale della fornitura.</t>
  </si>
  <si>
    <t>P(D) =</t>
  </si>
  <si>
    <t>X è una binomiale di parametri</t>
  </si>
  <si>
    <t>p =</t>
  </si>
  <si>
    <t>P(X=0) =</t>
  </si>
  <si>
    <t>d)</t>
  </si>
  <si>
    <t>Utilizziamo l'approssimazione della binomiale alla normale</t>
  </si>
  <si>
    <t>X si distribuisce approssimativamente come un normale di parametri</t>
  </si>
  <si>
    <t>s =</t>
  </si>
  <si>
    <t>La distribuzione dei dipendenti di una certa azienda per classi di reddito mensile (in migliaia di euro)</t>
  </si>
  <si>
    <t>e titolo di studio è riportata in tabella:</t>
  </si>
  <si>
    <t>Reddito mensile</t>
  </si>
  <si>
    <t>Titolo di studio</t>
  </si>
  <si>
    <t>Licenza media</t>
  </si>
  <si>
    <t>Diploma</t>
  </si>
  <si>
    <t>Laurea</t>
  </si>
  <si>
    <t>b) Si calcoli media e varianza della distribuzione marginale della variabile Reddito mensile</t>
  </si>
  <si>
    <t>c) Si calcoli l'indice di dipendenza in media e si commenti il risultato</t>
  </si>
  <si>
    <t>Varianze condizionate =</t>
  </si>
  <si>
    <t>osservando i seguenti risultati:</t>
  </si>
  <si>
    <r>
      <t>H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= </t>
    </r>
  </si>
  <si>
    <r>
      <t>H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&lt; </t>
    </r>
  </si>
  <si>
    <r>
      <t>1-a</t>
    </r>
    <r>
      <rPr>
        <sz val="10"/>
        <rFont val="Arial"/>
        <family val="2"/>
      </rPr>
      <t xml:space="preserve"> =</t>
    </r>
  </si>
  <si>
    <r>
      <t>t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</si>
  <si>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t>Estremo inferiore =</t>
  </si>
  <si>
    <t>Estremo superiore =</t>
  </si>
  <si>
    <t>xmedio=</t>
  </si>
  <si>
    <r>
      <rPr>
        <sz val="10"/>
        <rFont val="Symbol"/>
        <family val="1"/>
        <charset val="2"/>
      </rPr>
      <t>c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</si>
  <si>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r>
      <rPr>
        <sz val="10"/>
        <rFont val="Symbol"/>
        <family val="1"/>
        <charset val="2"/>
      </rPr>
      <t>c</t>
    </r>
    <r>
      <rPr>
        <vertAlign val="subscript"/>
        <sz val="10"/>
        <rFont val="Symbol"/>
        <family val="1"/>
        <charset val="2"/>
      </rPr>
      <t>1-a/2</t>
    </r>
    <r>
      <rPr>
        <sz val="10"/>
        <rFont val="Arial"/>
        <family val="2"/>
      </rPr>
      <t xml:space="preserve"> =</t>
    </r>
  </si>
  <si>
    <r>
      <t>z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</si>
  <si>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t>Statistica test =</t>
  </si>
  <si>
    <t>d) Cosa si intende per decomposizione della varianza totale?</t>
  </si>
  <si>
    <t>a) Si calcoli il reddito medio condizionatamente al titolo di studio</t>
  </si>
  <si>
    <t>Verifica correttezza dei calcoli</t>
  </si>
  <si>
    <t>La tabella sottostante riporta le vendite di una ditta in migliaia di euro</t>
  </si>
  <si>
    <t>negli ultimi 5 anni</t>
  </si>
  <si>
    <t>Vendite (in migliaia di euro)</t>
  </si>
  <si>
    <t>Anno</t>
  </si>
  <si>
    <t>a) Si rappresentino graficamente i dati in maniera opportuna.</t>
  </si>
  <si>
    <t>b) Si stimino i parametri della retta che esprime le vendite in funzione del tempo e si interpreti il valore del coefficiente angolare.</t>
  </si>
  <si>
    <t>Y</t>
  </si>
  <si>
    <t>X</t>
  </si>
  <si>
    <t>y-ymedio</t>
  </si>
  <si>
    <t>x-xmedio</t>
  </si>
  <si>
    <t>(y-ymedio)^2</t>
  </si>
  <si>
    <t>(x-xmedio)^2</t>
  </si>
  <si>
    <t>(x-xmedio)*(y-ymedio)</t>
  </si>
  <si>
    <t>ymedio</t>
  </si>
  <si>
    <t>xmedio</t>
  </si>
  <si>
    <t>b0 =</t>
  </si>
  <si>
    <t>b1=</t>
  </si>
  <si>
    <t>d) Si determini l'indice della bontà di adattamento della retta ai dati</t>
  </si>
  <si>
    <t>R^2 =</t>
  </si>
  <si>
    <t>d) Senza eseguire calcoli, cosa succederebbe all'intervallo di confidenza se invece del 99% si scegliesse un livello di confidenza del 90%.</t>
  </si>
  <si>
    <r>
      <t>z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</si>
  <si>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t>Estremo inferiore dell'intervallo per la proporzione =</t>
  </si>
  <si>
    <t>Estremo superiore dell'intervallo per la proporzione =</t>
  </si>
  <si>
    <t>Ampiezza intervallo =</t>
  </si>
  <si>
    <t xml:space="preserve">n= </t>
  </si>
  <si>
    <t>oppure</t>
  </si>
  <si>
    <t xml:space="preserve">concluse con un acquisto. </t>
  </si>
  <si>
    <t>contro l’alternativa che tale percentuale sia inferiore.</t>
  </si>
  <si>
    <t>b) Si costruisca un intervallo di confidenza al livello del 99% per la percentuale di visualizzazioni</t>
  </si>
  <si>
    <t>che si concludono con un acquisto.</t>
  </si>
  <si>
    <t>I dati contengono sufficiente evidenza per rigettare l'ipotesi nulla.</t>
  </si>
  <si>
    <t xml:space="preserve">c) Determinare la numerosità campionaria necessaria per ottenere un intervallo di confidenza al 99% con ampiezza massima pari a 0,03 per la percentuale di </t>
  </si>
  <si>
    <t>di visualizzazioni che si concludono con l'acquisto.</t>
  </si>
  <si>
    <t>sigma =</t>
  </si>
  <si>
    <t>)=</t>
  </si>
  <si>
    <t>P(X&gt;x) =</t>
  </si>
  <si>
    <t>P(Z&gt; (x-mu)/sigma) =</t>
  </si>
  <si>
    <t>(x-mu)/sigma =</t>
  </si>
  <si>
    <t>x =</t>
  </si>
  <si>
    <t>P(Xm&lt;</t>
  </si>
  <si>
    <t>)= P(Z &lt;</t>
  </si>
  <si>
    <t>=</t>
  </si>
  <si>
    <t>b) il reddito al di sopra del quale si trova il 10% più ricco della popolazione.</t>
  </si>
  <si>
    <t>p(X&gt;</t>
  </si>
  <si>
    <t>)=P(Z&gt;</t>
  </si>
  <si>
    <t xml:space="preserve">P(Y&lt;2) = </t>
  </si>
  <si>
    <t>+</t>
  </si>
  <si>
    <t>e accettare l'alternativa che la durata sia inferiore</t>
  </si>
  <si>
    <r>
      <t>H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s</t>
    </r>
    <r>
      <rPr>
        <sz val="10"/>
        <rFont val="Arial"/>
        <family val="2"/>
      </rPr>
      <t xml:space="preserve"> = </t>
    </r>
  </si>
  <si>
    <t xml:space="preserve">stattest = </t>
  </si>
  <si>
    <t>Un'associazione di consumatori misura il peso di un campione di 6 pacchi</t>
  </si>
  <si>
    <t>a) Calcolare un intervallo di confidenza al 90% per il peso medio dei pacchi di pasta sulla base del campione osservato.</t>
  </si>
  <si>
    <t>Il peso dei pacchi di pasta di una certa marca si distribuisce normalmente con media 500 g.</t>
  </si>
  <si>
    <t>b) Calcolare un intervallo di confidenza al 95% per la varianza del peso</t>
  </si>
  <si>
    <t>c) Verificare l'ipotesi che peso medio sia quello dichiarato, contro l'alternativa che sia inferiore, al livello dell'1%.</t>
  </si>
  <si>
    <t>d) Verificare l'ipotesi che la deviazione standard sia pari a 4 g, contro l'alternativa che sia diversa, al livello del 10%.</t>
  </si>
  <si>
    <t>g</t>
  </si>
  <si>
    <t>X = {peso}</t>
  </si>
  <si>
    <t>I dati non contengono sufficiente evidenza per rifiutare l'ipotesi nulla che il peso sia quello dichiarato</t>
  </si>
  <si>
    <r>
      <t>H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 xml:space="preserve">s </t>
    </r>
    <r>
      <rPr>
        <sz val="10"/>
        <rFont val="Calibri"/>
        <family val="2"/>
      </rPr>
      <t>≠</t>
    </r>
  </si>
  <si>
    <t>Oppure sulla base dell'intervallo di confidenza al punto b)</t>
  </si>
  <si>
    <t>b) Calcolare la probabilità che avendo osservato un pezzo difettoso, questo provenga dal fornitore B.</t>
  </si>
  <si>
    <t>c) Calcolare la probabilità che estraendo a caso 5 pezzi dalla fornitura, nessuno risulti difettoso.</t>
  </si>
  <si>
    <t>d) Calcolare la probabilità che estraendo a caso 1000 pezzi dalla fornitura, al massimo 25 risultino difettosi.</t>
  </si>
  <si>
    <t>P(B|D) =</t>
  </si>
  <si>
    <t>P(X&lt;25,5) =</t>
  </si>
  <si>
    <t>S^2 =</t>
  </si>
  <si>
    <t>migliaia di euro</t>
  </si>
  <si>
    <t>1 |- 1,5</t>
  </si>
  <si>
    <t>1,5 |- 2,0</t>
  </si>
  <si>
    <t>2,0 |- 3</t>
  </si>
  <si>
    <t>c) Qual è il valore delle vendite che ci si aspetta per il 2023?</t>
  </si>
  <si>
    <t>Il reddito mensile individuale in un determinato paese si distribuisce in maniera normale, con media pari a 1500 euro e deviazione</t>
  </si>
  <si>
    <t xml:space="preserve">standard pari a 650 euro. Si calcoli </t>
  </si>
  <si>
    <t>a) la probabilità che estraendo un individuo a caso, questi abbia un reddito mensile superiore a 2000 euro</t>
  </si>
  <si>
    <t>c) la probabilità che estraendo a caso 10 persone, il loro reddito medio sia inferiore a 1400 euro.</t>
  </si>
  <si>
    <t>d) la probabilità che estraendo a caso 3 persone, al massimo una di loro abbia un reddito superiore a 2000 euro</t>
  </si>
  <si>
    <t>B fornisce il 78% dei pezzi. Inoltre il 4% della fornitura di A risulta difettosa</t>
  </si>
  <si>
    <t xml:space="preserve">mentre solo il 2,5% della fornitura di B risulta difettosa. </t>
  </si>
  <si>
    <t>Un sito di vendite online ha registrato nell'ultima settimana 3500 visualizzazioni. Di queste, 800 si sono</t>
  </si>
  <si>
    <t xml:space="preserve">a) Si verifichi l'ipotesi nulla che il 30% delle visualizzazioni si concludono con un acquisto, </t>
  </si>
  <si>
    <t>Da un anno al successivo ci si aspetta che le vendite crescano in media di 11300 euro</t>
  </si>
  <si>
    <t>Vendite previste per il 2023</t>
  </si>
  <si>
    <t>Al diminuire del livello di confidenza l'intervallo diventa più stretto, ossia più preciso.</t>
  </si>
  <si>
    <t>I dati non contengono sufficiente evidenza per rifiutare l'ipotesi nulla che la deviazione standard della durata sia pari a quattro ore</t>
  </si>
  <si>
    <t>e accettare l'alternativa che sia diversa.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</si>
</sst>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0"/>
    <numFmt numFmtId="167" formatCode="0.000E+00"/>
  </numFmts>
  <fonts count="16" x14ac:knownFonts="1">
    <font>
      <sz val="10"/>
      <name val="Arial"/>
    </font>
    <font>
      <b/>
      <sz val="12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Symbol"/>
      <family val="1"/>
      <charset val="2"/>
    </font>
    <font>
      <vertAlign val="subscript"/>
      <sz val="10"/>
      <name val="Symbol"/>
      <family val="1"/>
      <charset val="2"/>
    </font>
    <font>
      <sz val="10"/>
      <name val="Arial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/>
    <xf numFmtId="0" fontId="4" fillId="0" borderId="0" xfId="0" applyFont="1"/>
    <xf numFmtId="0" fontId="0" fillId="0" borderId="0" xfId="0" applyBorder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0" fillId="0" borderId="0" xfId="0" quotePrefix="1"/>
    <xf numFmtId="1" fontId="0" fillId="0" borderId="0" xfId="0" applyNumberFormat="1"/>
    <xf numFmtId="0" fontId="6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166" fontId="0" fillId="0" borderId="0" xfId="0" applyNumberFormat="1"/>
    <xf numFmtId="0" fontId="10" fillId="0" borderId="0" xfId="0" applyFont="1"/>
    <xf numFmtId="0" fontId="4" fillId="0" borderId="0" xfId="0" quotePrefix="1" applyFont="1" applyBorder="1"/>
    <xf numFmtId="0" fontId="11" fillId="0" borderId="0" xfId="0" applyFont="1" applyBorder="1"/>
    <xf numFmtId="0" fontId="10" fillId="0" borderId="0" xfId="0" applyFont="1" applyBorder="1"/>
    <xf numFmtId="0" fontId="12" fillId="0" borderId="0" xfId="0" applyFont="1"/>
    <xf numFmtId="0" fontId="4" fillId="0" borderId="1" xfId="0" quotePrefix="1" applyFont="1" applyBorder="1"/>
    <xf numFmtId="0" fontId="4" fillId="0" borderId="6" xfId="0" applyFont="1" applyBorder="1"/>
    <xf numFmtId="0" fontId="4" fillId="0" borderId="7" xfId="0" applyFont="1" applyBorder="1"/>
    <xf numFmtId="0" fontId="3" fillId="0" borderId="0" xfId="0" applyFont="1"/>
    <xf numFmtId="0" fontId="10" fillId="0" borderId="0" xfId="0" applyFont="1" applyFill="1" applyBorder="1"/>
    <xf numFmtId="0" fontId="12" fillId="0" borderId="0" xfId="0" applyFont="1" applyFill="1" applyBorder="1"/>
    <xf numFmtId="165" fontId="0" fillId="0" borderId="0" xfId="0" applyNumberFormat="1"/>
    <xf numFmtId="164" fontId="0" fillId="0" borderId="0" xfId="0" applyNumberForma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Fill="1"/>
    <xf numFmtId="165" fontId="10" fillId="0" borderId="0" xfId="0" applyNumberFormat="1" applyFont="1"/>
    <xf numFmtId="0" fontId="4" fillId="0" borderId="0" xfId="0" applyFont="1" applyAlignment="1"/>
    <xf numFmtId="0" fontId="11" fillId="0" borderId="0" xfId="0" applyFont="1"/>
    <xf numFmtId="0" fontId="3" fillId="0" borderId="0" xfId="0" applyFont="1" applyAlignment="1">
      <alignment wrapText="1"/>
    </xf>
    <xf numFmtId="0" fontId="3" fillId="0" borderId="0" xfId="0" applyFont="1" applyFill="1"/>
    <xf numFmtId="0" fontId="4" fillId="0" borderId="0" xfId="0" applyNumberFormat="1" applyFont="1"/>
    <xf numFmtId="2" fontId="0" fillId="0" borderId="0" xfId="0" applyNumberFormat="1"/>
    <xf numFmtId="0" fontId="3" fillId="0" borderId="0" xfId="0" applyFont="1" applyFill="1" applyBorder="1"/>
    <xf numFmtId="0" fontId="0" fillId="0" borderId="0" xfId="0" applyAlignment="1">
      <alignment horizontal="center" wrapText="1"/>
    </xf>
    <xf numFmtId="0" fontId="14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167" fontId="0" fillId="0" borderId="0" xfId="0" applyNumberFormat="1"/>
    <xf numFmtId="167" fontId="0" fillId="0" borderId="0" xfId="0" quotePrefix="1" applyNumberFormat="1"/>
    <xf numFmtId="0" fontId="0" fillId="0" borderId="0" xfId="0" applyBorder="1" applyAlignment="1">
      <alignment horizontal="center" vertical="center" wrapText="1"/>
    </xf>
    <xf numFmtId="0" fontId="3" fillId="0" borderId="0" xfId="0" quotePrefix="1" applyFont="1"/>
    <xf numFmtId="0" fontId="0" fillId="0" borderId="4" xfId="0" applyBorder="1"/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textRotation="90"/>
    </xf>
    <xf numFmtId="0" fontId="4" fillId="0" borderId="0" xfId="0" applyFont="1" applyAlignment="1">
      <alignment horizontal="center" vertical="center" textRotation="90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Grafico a dispersione</a:t>
            </a:r>
          </a:p>
        </c:rich>
      </c:tx>
      <c:layout>
        <c:manualLayout>
          <c:xMode val="edge"/>
          <c:yMode val="edge"/>
          <c:x val="0.32372970327861555"/>
          <c:y val="3.29218106995884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93259053708589"/>
          <c:y val="0.18107059556958563"/>
          <c:w val="0.78813754999722763"/>
          <c:h val="0.6378623253019493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1"/>
            <c:trendlineLbl>
              <c:numFmt formatCode="General" sourceLinked="0"/>
            </c:trendlineLbl>
          </c:trendline>
          <c:xVal>
            <c:numRef>
              <c:f>Foglio2!$C$5:$C$9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xVal>
          <c:yVal>
            <c:numRef>
              <c:f>Foglio2!$B$5:$B$9</c:f>
              <c:numCache>
                <c:formatCode>General</c:formatCode>
                <c:ptCount val="5"/>
                <c:pt idx="0">
                  <c:v>244</c:v>
                </c:pt>
                <c:pt idx="1">
                  <c:v>257</c:v>
                </c:pt>
                <c:pt idx="2">
                  <c:v>251</c:v>
                </c:pt>
                <c:pt idx="3">
                  <c:v>272</c:v>
                </c:pt>
                <c:pt idx="4">
                  <c:v>293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8D-4E4D-8EA8-66FAD9714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22371520"/>
        <c:axId val="-48610400"/>
      </c:scatterChart>
      <c:valAx>
        <c:axId val="-2022371520"/>
        <c:scaling>
          <c:orientation val="minMax"/>
          <c:max val="2022"/>
          <c:min val="2016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Anno</a:t>
                </a:r>
              </a:p>
            </c:rich>
          </c:tx>
          <c:layout>
            <c:manualLayout>
              <c:xMode val="edge"/>
              <c:yMode val="edge"/>
              <c:x val="0.36101783887183592"/>
              <c:y val="0.901237808236933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-48610400"/>
        <c:crosses val="autoZero"/>
        <c:crossBetween val="midCat"/>
      </c:valAx>
      <c:valAx>
        <c:axId val="-48610400"/>
        <c:scaling>
          <c:orientation val="minMax"/>
          <c:max val="3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Vendite</a:t>
                </a:r>
              </a:p>
            </c:rich>
          </c:tx>
          <c:layout>
            <c:manualLayout>
              <c:xMode val="edge"/>
              <c:yMode val="edge"/>
              <c:x val="3.2203389830508473E-2"/>
              <c:y val="0.318931121264162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-2022371520"/>
        <c:crosses val="autoZero"/>
        <c:crossBetween val="midCat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34</xdr:row>
      <xdr:rowOff>45720</xdr:rowOff>
    </xdr:from>
    <xdr:to>
      <xdr:col>9</xdr:col>
      <xdr:colOff>160020</xdr:colOff>
      <xdr:row>56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opLeftCell="A12" zoomScale="170" zoomScaleNormal="170" workbookViewId="0">
      <selection activeCell="F7" sqref="F7"/>
    </sheetView>
  </sheetViews>
  <sheetFormatPr defaultColWidth="9.109375" defaultRowHeight="12.3" x14ac:dyDescent="0.4"/>
  <cols>
    <col min="1" max="1" width="17.88671875" style="3" customWidth="1"/>
    <col min="2" max="16384" width="9.109375" style="3"/>
  </cols>
  <sheetData>
    <row r="1" spans="1:6" x14ac:dyDescent="0.4">
      <c r="A1" s="2" t="s">
        <v>31</v>
      </c>
      <c r="B1" s="2"/>
      <c r="C1" s="2"/>
      <c r="D1" s="2"/>
      <c r="E1" s="2"/>
      <c r="F1" s="2"/>
    </row>
    <row r="2" spans="1:6" x14ac:dyDescent="0.4">
      <c r="A2" s="2" t="s">
        <v>32</v>
      </c>
      <c r="B2" s="2"/>
      <c r="C2" s="2"/>
      <c r="D2" s="2"/>
      <c r="E2" s="2"/>
      <c r="F2" s="2"/>
    </row>
    <row r="3" spans="1:6" x14ac:dyDescent="0.4">
      <c r="A3" s="2"/>
      <c r="B3" s="2"/>
      <c r="C3" s="2"/>
      <c r="D3" s="2"/>
      <c r="E3" s="2"/>
      <c r="F3" s="2"/>
    </row>
    <row r="4" spans="1:6" x14ac:dyDescent="0.4">
      <c r="A4" s="2"/>
      <c r="B4" s="2"/>
      <c r="C4" s="2"/>
      <c r="D4" s="2"/>
      <c r="E4" s="2"/>
      <c r="F4" s="2"/>
    </row>
    <row r="5" spans="1:6" x14ac:dyDescent="0.4">
      <c r="A5" s="2"/>
      <c r="B5" s="2"/>
      <c r="C5" s="52" t="s">
        <v>33</v>
      </c>
      <c r="D5" s="52"/>
      <c r="E5" s="52"/>
      <c r="F5" s="2"/>
    </row>
    <row r="6" spans="1:6" ht="12.75" customHeight="1" x14ac:dyDescent="0.4">
      <c r="A6" s="2"/>
      <c r="B6" s="2"/>
      <c r="C6" s="22" t="s">
        <v>124</v>
      </c>
      <c r="D6" s="18" t="s">
        <v>125</v>
      </c>
      <c r="E6" s="18" t="s">
        <v>126</v>
      </c>
      <c r="F6" s="11"/>
    </row>
    <row r="7" spans="1:6" ht="21.75" customHeight="1" x14ac:dyDescent="0.4">
      <c r="A7" s="55" t="s">
        <v>34</v>
      </c>
      <c r="B7" s="12" t="s">
        <v>35</v>
      </c>
      <c r="C7" s="13">
        <v>32</v>
      </c>
      <c r="D7" s="12">
        <v>12</v>
      </c>
      <c r="E7" s="12">
        <v>3</v>
      </c>
      <c r="F7" s="13">
        <f>SUM(C7:E7)</f>
        <v>47</v>
      </c>
    </row>
    <row r="8" spans="1:6" ht="16.5" customHeight="1" x14ac:dyDescent="0.4">
      <c r="A8" s="55"/>
      <c r="B8" s="10" t="s">
        <v>36</v>
      </c>
      <c r="C8" s="11">
        <v>13</v>
      </c>
      <c r="D8" s="10">
        <v>28</v>
      </c>
      <c r="E8" s="10">
        <v>8</v>
      </c>
      <c r="F8" s="13">
        <f>SUM(C8:E8)</f>
        <v>49</v>
      </c>
    </row>
    <row r="9" spans="1:6" ht="18.75" customHeight="1" x14ac:dyDescent="0.4">
      <c r="A9" s="55"/>
      <c r="B9" s="14" t="s">
        <v>37</v>
      </c>
      <c r="C9" s="15">
        <v>4</v>
      </c>
      <c r="D9" s="14">
        <v>15</v>
      </c>
      <c r="E9" s="23">
        <v>25</v>
      </c>
      <c r="F9" s="24">
        <f>SUM(C9:E9)</f>
        <v>44</v>
      </c>
    </row>
    <row r="10" spans="1:6" x14ac:dyDescent="0.4">
      <c r="A10" s="2"/>
      <c r="B10" s="2"/>
      <c r="C10" s="11">
        <f>SUM(C7:C9)</f>
        <v>49</v>
      </c>
      <c r="D10" s="11">
        <f>SUM(D7:D9)</f>
        <v>55</v>
      </c>
      <c r="E10" s="11">
        <f>SUM(E7:E9)</f>
        <v>36</v>
      </c>
      <c r="F10" s="11">
        <f>SUM(F7:F9)</f>
        <v>140</v>
      </c>
    </row>
    <row r="11" spans="1:6" x14ac:dyDescent="0.4">
      <c r="A11" s="2"/>
      <c r="B11" s="2"/>
      <c r="C11" s="2"/>
      <c r="D11" s="2"/>
      <c r="E11" s="2"/>
      <c r="F11" s="2"/>
    </row>
    <row r="12" spans="1:6" x14ac:dyDescent="0.4">
      <c r="A12" s="2" t="s">
        <v>54</v>
      </c>
      <c r="B12" s="2"/>
      <c r="C12" s="2"/>
      <c r="D12" s="2"/>
      <c r="E12" s="2"/>
      <c r="F12" s="2"/>
    </row>
    <row r="13" spans="1:6" x14ac:dyDescent="0.4">
      <c r="A13" s="2" t="s">
        <v>38</v>
      </c>
      <c r="B13" s="2"/>
      <c r="C13" s="2"/>
      <c r="D13" s="2"/>
      <c r="E13" s="2"/>
      <c r="F13" s="2"/>
    </row>
    <row r="14" spans="1:6" x14ac:dyDescent="0.4">
      <c r="A14" s="2" t="s">
        <v>39</v>
      </c>
      <c r="B14" s="2"/>
      <c r="C14" s="2"/>
      <c r="D14" s="2"/>
      <c r="E14" s="2"/>
      <c r="F14" s="2"/>
    </row>
    <row r="15" spans="1:6" x14ac:dyDescent="0.4">
      <c r="A15" s="2" t="s">
        <v>53</v>
      </c>
      <c r="B15" s="2"/>
      <c r="C15" s="2"/>
      <c r="D15" s="2"/>
      <c r="E15" s="2"/>
      <c r="F15" s="2"/>
    </row>
    <row r="16" spans="1:6" x14ac:dyDescent="0.4">
      <c r="A16" s="2"/>
      <c r="B16" s="2"/>
      <c r="C16" s="2"/>
      <c r="D16" s="2"/>
      <c r="E16" s="2"/>
      <c r="F16" s="2"/>
    </row>
    <row r="17" spans="1:8" x14ac:dyDescent="0.4">
      <c r="A17" s="5" t="s">
        <v>2</v>
      </c>
      <c r="B17">
        <f>2.5/2</f>
        <v>1.25</v>
      </c>
      <c r="C17">
        <f>3.5/2</f>
        <v>1.75</v>
      </c>
      <c r="D17">
        <f>5/2</f>
        <v>2.5</v>
      </c>
      <c r="E17"/>
      <c r="F17" s="2">
        <f>B$17*C7</f>
        <v>40</v>
      </c>
      <c r="G17" s="2">
        <f t="shared" ref="G17:H17" si="0">C$17*D7</f>
        <v>21</v>
      </c>
      <c r="H17" s="2">
        <f t="shared" si="0"/>
        <v>7.5</v>
      </c>
    </row>
    <row r="18" spans="1:8" x14ac:dyDescent="0.4">
      <c r="A18" s="5" t="s">
        <v>3</v>
      </c>
      <c r="B18">
        <f>(B$17*C7+C$17*D7+D$17*E7)/F7</f>
        <v>1.4574468085106382</v>
      </c>
      <c r="C18"/>
      <c r="D18"/>
      <c r="E18"/>
      <c r="F18" s="2">
        <f t="shared" ref="F18:F19" si="1">B$17*C8</f>
        <v>16.25</v>
      </c>
      <c r="G18" s="2">
        <f t="shared" ref="G18:G19" si="2">C$17*D8</f>
        <v>49</v>
      </c>
      <c r="H18" s="2">
        <f t="shared" ref="H18:H19" si="3">D$17*E8</f>
        <v>20</v>
      </c>
    </row>
    <row r="19" spans="1:8" x14ac:dyDescent="0.4">
      <c r="A19"/>
      <c r="B19">
        <f>(B$17*C8+C$17*D8+D$17*E8)/F8</f>
        <v>1.739795918367347</v>
      </c>
      <c r="C19"/>
      <c r="D19"/>
      <c r="E19"/>
      <c r="F19" s="2">
        <f t="shared" si="1"/>
        <v>5</v>
      </c>
      <c r="G19" s="2">
        <f t="shared" si="2"/>
        <v>26.25</v>
      </c>
      <c r="H19" s="2">
        <f t="shared" si="3"/>
        <v>62.5</v>
      </c>
    </row>
    <row r="20" spans="1:8" x14ac:dyDescent="0.4">
      <c r="A20"/>
      <c r="B20">
        <f>(B$17*C9+C$17*D9+D$17*E9)/F9</f>
        <v>2.1306818181818183</v>
      </c>
      <c r="C20"/>
      <c r="D20"/>
      <c r="E20"/>
      <c r="F20" s="2"/>
    </row>
    <row r="21" spans="1:8" x14ac:dyDescent="0.4">
      <c r="A21"/>
      <c r="B21"/>
      <c r="C21"/>
      <c r="D21"/>
      <c r="E21"/>
      <c r="F21" s="2"/>
    </row>
    <row r="22" spans="1:8" x14ac:dyDescent="0.4">
      <c r="A22" t="s">
        <v>4</v>
      </c>
      <c r="B22">
        <f>(B$17*C10+C$17*D10+D$17*E10)/F10</f>
        <v>1.7678571428571428</v>
      </c>
      <c r="C22"/>
      <c r="D22"/>
      <c r="E22"/>
      <c r="F22" s="2"/>
    </row>
    <row r="23" spans="1:8" x14ac:dyDescent="0.4">
      <c r="A23"/>
      <c r="B23"/>
      <c r="C23"/>
      <c r="D23"/>
      <c r="E23"/>
      <c r="F23" s="2"/>
    </row>
    <row r="24" spans="1:8" x14ac:dyDescent="0.4">
      <c r="A24" t="s">
        <v>5</v>
      </c>
      <c r="B24">
        <f>((B17-B22)^2*C10+(C17-B22)^2*D10+(D17-B22)^2*E10)/F10</f>
        <v>0.2318239795918367</v>
      </c>
      <c r="C24"/>
      <c r="D24"/>
      <c r="E24"/>
      <c r="F24" s="2"/>
    </row>
    <row r="25" spans="1:8" x14ac:dyDescent="0.4">
      <c r="A25"/>
      <c r="B25"/>
      <c r="C25"/>
      <c r="D25"/>
      <c r="E25"/>
      <c r="F25" s="2"/>
    </row>
    <row r="26" spans="1:8" x14ac:dyDescent="0.4">
      <c r="A26" t="s">
        <v>6</v>
      </c>
      <c r="B26"/>
      <c r="C26">
        <f>((B18-B22)^2*F7+(B19-B22)^2*F8+(B20-B22)^2*F9)/F10</f>
        <v>7.3996328722840385E-2</v>
      </c>
      <c r="D26"/>
      <c r="E26"/>
      <c r="F26" s="2"/>
    </row>
    <row r="27" spans="1:8" x14ac:dyDescent="0.4">
      <c r="A27"/>
      <c r="B27"/>
      <c r="C27"/>
      <c r="D27"/>
      <c r="E27"/>
      <c r="F27" s="2"/>
    </row>
    <row r="28" spans="1:8" x14ac:dyDescent="0.4">
      <c r="A28" s="6" t="s">
        <v>7</v>
      </c>
      <c r="B28">
        <f>C26/B24</f>
        <v>0.31919186640278885</v>
      </c>
      <c r="C28"/>
      <c r="D28"/>
      <c r="E28"/>
      <c r="F28" s="2"/>
    </row>
    <row r="29" spans="1:8" x14ac:dyDescent="0.4">
      <c r="A29" s="6"/>
      <c r="B29"/>
      <c r="C29"/>
      <c r="D29"/>
      <c r="E29"/>
      <c r="F29" s="2"/>
    </row>
    <row r="30" spans="1:8" x14ac:dyDescent="0.4">
      <c r="A30" s="6"/>
      <c r="B30"/>
      <c r="C30"/>
      <c r="D30"/>
      <c r="E30"/>
      <c r="F30" s="2"/>
    </row>
    <row r="31" spans="1:8" x14ac:dyDescent="0.4">
      <c r="A31" t="s">
        <v>55</v>
      </c>
      <c r="B31"/>
      <c r="C31"/>
      <c r="D31"/>
      <c r="E31"/>
      <c r="F31" s="2"/>
    </row>
    <row r="32" spans="1:8" x14ac:dyDescent="0.4">
      <c r="A32" s="25" t="s">
        <v>40</v>
      </c>
      <c r="B32"/>
      <c r="C32">
        <f>((B$17-B18)^2*C7+(C$17-B18)^2*D7+(D$17-B18)^2*E7)/F7</f>
        <v>0.12052965142598461</v>
      </c>
      <c r="D32"/>
      <c r="E32"/>
      <c r="F32" s="2"/>
    </row>
    <row r="33" spans="1:8" x14ac:dyDescent="0.4">
      <c r="A33"/>
      <c r="B33"/>
      <c r="C33">
        <f>((B$17-B19)^2*C8+(C$17-B19)^2*D8+(D$17-B19)^2*E8)/F8</f>
        <v>0.15805914202415661</v>
      </c>
      <c r="D33"/>
      <c r="E33"/>
      <c r="F33" s="2"/>
    </row>
    <row r="34" spans="1:8" x14ac:dyDescent="0.4">
      <c r="A34"/>
      <c r="B34"/>
      <c r="C34">
        <f>((B$17-B20)^2*C9+(C$17-B20)^2*D9+(D$17-B20)^2*E9)/F9</f>
        <v>0.19741089876033058</v>
      </c>
      <c r="D34"/>
      <c r="E34"/>
      <c r="F34" s="2"/>
    </row>
    <row r="35" spans="1:8" x14ac:dyDescent="0.4">
      <c r="A35"/>
      <c r="B35"/>
      <c r="C35"/>
      <c r="D35"/>
      <c r="E35"/>
      <c r="F35" s="2"/>
    </row>
    <row r="36" spans="1:8" x14ac:dyDescent="0.4">
      <c r="A36" t="s">
        <v>8</v>
      </c>
      <c r="B36"/>
      <c r="C36">
        <f>(C32*F7+C33*F8+C34*F9)/F10</f>
        <v>0.15782765086899639</v>
      </c>
      <c r="D36"/>
      <c r="E36"/>
      <c r="F36" s="2"/>
    </row>
    <row r="37" spans="1:8" x14ac:dyDescent="0.4">
      <c r="A37"/>
      <c r="B37"/>
      <c r="C37"/>
      <c r="D37"/>
      <c r="E37"/>
      <c r="F37" s="2"/>
    </row>
    <row r="38" spans="1:8" x14ac:dyDescent="0.4">
      <c r="A38"/>
      <c r="B38"/>
      <c r="C38"/>
      <c r="D38"/>
      <c r="E38"/>
      <c r="F38" s="2"/>
    </row>
    <row r="39" spans="1:8" ht="15" x14ac:dyDescent="0.5">
      <c r="A39" s="19"/>
      <c r="G39" s="1"/>
      <c r="H39" s="1"/>
    </row>
    <row r="41" spans="1:8" ht="15" x14ac:dyDescent="0.5">
      <c r="G41" s="1"/>
      <c r="H41" s="1"/>
    </row>
    <row r="43" spans="1:8" x14ac:dyDescent="0.4">
      <c r="A43" s="9"/>
      <c r="B43" s="9"/>
      <c r="C43" s="53"/>
      <c r="D43" s="53"/>
      <c r="E43" s="53"/>
    </row>
    <row r="44" spans="1:8" x14ac:dyDescent="0.4">
      <c r="A44" s="9"/>
      <c r="B44" s="9"/>
      <c r="C44" s="9"/>
      <c r="D44" s="9"/>
      <c r="E44" s="9"/>
    </row>
    <row r="45" spans="1:8" ht="12.75" customHeight="1" x14ac:dyDescent="0.4">
      <c r="A45" s="54"/>
      <c r="B45" s="9"/>
      <c r="C45" s="9"/>
      <c r="D45" s="9"/>
      <c r="E45" s="9"/>
    </row>
    <row r="46" spans="1:8" x14ac:dyDescent="0.4">
      <c r="A46" s="54"/>
      <c r="B46" s="9"/>
      <c r="C46" s="9"/>
      <c r="D46" s="9"/>
      <c r="E46" s="9"/>
    </row>
    <row r="47" spans="1:8" x14ac:dyDescent="0.4">
      <c r="A47" s="9"/>
    </row>
    <row r="48" spans="1:8" x14ac:dyDescent="0.4">
      <c r="A48" s="9"/>
    </row>
    <row r="53" spans="1:5" x14ac:dyDescent="0.4">
      <c r="A53" s="9"/>
      <c r="B53" s="9"/>
      <c r="C53" s="53"/>
      <c r="D53" s="53"/>
      <c r="E53" s="53"/>
    </row>
    <row r="54" spans="1:5" x14ac:dyDescent="0.4">
      <c r="A54" s="9"/>
      <c r="B54" s="9"/>
      <c r="C54" s="9"/>
      <c r="D54" s="9"/>
      <c r="E54" s="9"/>
    </row>
    <row r="55" spans="1:5" ht="12.75" customHeight="1" x14ac:dyDescent="0.4">
      <c r="A55" s="54"/>
      <c r="B55" s="9"/>
      <c r="C55" s="9"/>
      <c r="D55" s="9"/>
      <c r="E55" s="9"/>
    </row>
    <row r="56" spans="1:5" x14ac:dyDescent="0.4">
      <c r="A56" s="54"/>
      <c r="B56" s="9"/>
      <c r="C56" s="9"/>
      <c r="D56" s="9"/>
      <c r="E56" s="9"/>
    </row>
    <row r="57" spans="1:5" x14ac:dyDescent="0.4">
      <c r="A57" s="9"/>
    </row>
  </sheetData>
  <mergeCells count="6">
    <mergeCell ref="C5:E5"/>
    <mergeCell ref="C53:E53"/>
    <mergeCell ref="A55:A56"/>
    <mergeCell ref="A7:A9"/>
    <mergeCell ref="C43:E43"/>
    <mergeCell ref="A45:A4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2"/>
  <sheetViews>
    <sheetView topLeftCell="A47" zoomScale="150" zoomScaleNormal="150" workbookViewId="0">
      <selection activeCell="C66" sqref="C66"/>
    </sheetView>
  </sheetViews>
  <sheetFormatPr defaultRowHeight="12.3" x14ac:dyDescent="0.4"/>
  <cols>
    <col min="1" max="1" width="14.109375" customWidth="1"/>
    <col min="2" max="2" width="14.6640625" customWidth="1"/>
    <col min="3" max="3" width="6.6640625" customWidth="1"/>
    <col min="4" max="4" width="7.109375" customWidth="1"/>
    <col min="5" max="5" width="14.6640625" customWidth="1"/>
    <col min="6" max="6" width="8.88671875" customWidth="1"/>
    <col min="7" max="7" width="8.44140625" customWidth="1"/>
    <col min="8" max="8" width="7.33203125" customWidth="1"/>
    <col min="9" max="9" width="6.5546875" customWidth="1"/>
    <col min="10" max="10" width="14.33203125" customWidth="1"/>
    <col min="11" max="11" width="4.88671875" customWidth="1"/>
    <col min="12" max="12" width="6.44140625" customWidth="1"/>
    <col min="13" max="13" width="5.5546875" customWidth="1"/>
    <col min="14" max="14" width="4.109375" customWidth="1"/>
  </cols>
  <sheetData>
    <row r="1" spans="1:12" x14ac:dyDescent="0.4">
      <c r="A1" s="2" t="s">
        <v>56</v>
      </c>
    </row>
    <row r="2" spans="1:12" x14ac:dyDescent="0.4">
      <c r="A2" s="2" t="s">
        <v>57</v>
      </c>
    </row>
    <row r="3" spans="1:12" x14ac:dyDescent="0.4">
      <c r="A3" s="2"/>
    </row>
    <row r="4" spans="1:12" s="31" customFormat="1" ht="39" customHeight="1" x14ac:dyDescent="0.4">
      <c r="A4" s="30"/>
      <c r="B4" s="30" t="s">
        <v>58</v>
      </c>
      <c r="C4" s="30" t="s">
        <v>59</v>
      </c>
    </row>
    <row r="5" spans="1:12" x14ac:dyDescent="0.4">
      <c r="A5" s="2"/>
      <c r="B5" s="2">
        <v>244</v>
      </c>
      <c r="C5" s="32">
        <v>2018</v>
      </c>
      <c r="D5" s="17"/>
      <c r="E5" s="17"/>
      <c r="G5" s="28"/>
    </row>
    <row r="6" spans="1:12" x14ac:dyDescent="0.4">
      <c r="A6" s="2"/>
      <c r="B6" s="2">
        <v>257</v>
      </c>
      <c r="C6" s="32">
        <v>2019</v>
      </c>
      <c r="D6" s="17"/>
      <c r="E6" s="17"/>
      <c r="G6" s="28"/>
    </row>
    <row r="7" spans="1:12" x14ac:dyDescent="0.4">
      <c r="A7" s="2"/>
      <c r="B7" s="2">
        <v>251</v>
      </c>
      <c r="C7" s="32">
        <v>2020</v>
      </c>
      <c r="D7" s="17"/>
      <c r="E7" s="17"/>
      <c r="G7" s="28"/>
    </row>
    <row r="8" spans="1:12" x14ac:dyDescent="0.4">
      <c r="A8" s="2"/>
      <c r="B8" s="2">
        <v>272</v>
      </c>
      <c r="C8" s="32">
        <v>2021</v>
      </c>
      <c r="D8" s="17"/>
      <c r="E8" s="17"/>
      <c r="G8" s="28"/>
    </row>
    <row r="9" spans="1:12" x14ac:dyDescent="0.4">
      <c r="A9" s="2"/>
      <c r="B9" s="2">
        <v>293</v>
      </c>
      <c r="C9" s="32">
        <v>2022</v>
      </c>
      <c r="D9" s="17"/>
      <c r="E9" s="17"/>
      <c r="G9" s="28"/>
    </row>
    <row r="10" spans="1:12" x14ac:dyDescent="0.4">
      <c r="A10" s="2"/>
      <c r="B10" s="2"/>
      <c r="C10" s="32"/>
      <c r="D10" s="17"/>
      <c r="E10" s="17"/>
      <c r="G10" s="28"/>
    </row>
    <row r="11" spans="1:12" x14ac:dyDescent="0.4">
      <c r="A11" s="2"/>
      <c r="B11" s="2"/>
      <c r="C11" s="17"/>
      <c r="D11" s="17"/>
      <c r="E11" s="17"/>
      <c r="G11" s="28"/>
      <c r="H11" s="25"/>
      <c r="I11" s="25"/>
      <c r="J11" s="25"/>
      <c r="K11" s="25"/>
      <c r="L11" s="25"/>
    </row>
    <row r="12" spans="1:12" x14ac:dyDescent="0.4">
      <c r="A12" s="2" t="s">
        <v>60</v>
      </c>
      <c r="B12" s="2"/>
      <c r="C12" s="17"/>
      <c r="D12" s="17"/>
      <c r="E12" s="17"/>
      <c r="G12" s="28"/>
      <c r="H12" s="25"/>
      <c r="I12" s="25"/>
      <c r="J12" s="25"/>
      <c r="K12" s="25"/>
      <c r="L12" s="25"/>
    </row>
    <row r="13" spans="1:12" x14ac:dyDescent="0.4">
      <c r="A13" s="2" t="s">
        <v>61</v>
      </c>
      <c r="C13" s="17"/>
      <c r="D13" s="17"/>
      <c r="E13" s="17"/>
      <c r="F13" s="17"/>
      <c r="G13" s="33"/>
      <c r="H13" s="25"/>
      <c r="J13" s="25"/>
      <c r="L13" s="25"/>
    </row>
    <row r="14" spans="1:12" x14ac:dyDescent="0.4">
      <c r="A14" s="34" t="s">
        <v>127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 x14ac:dyDescent="0.4">
      <c r="A15" s="2" t="s">
        <v>73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2" x14ac:dyDescent="0.4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5" x14ac:dyDescent="0.4">
      <c r="A17" s="35" t="s">
        <v>1</v>
      </c>
    </row>
    <row r="19" spans="1:15" x14ac:dyDescent="0.4">
      <c r="A19" s="36" t="s">
        <v>62</v>
      </c>
      <c r="B19" s="36" t="s">
        <v>63</v>
      </c>
      <c r="C19" t="s">
        <v>64</v>
      </c>
      <c r="D19" t="s">
        <v>65</v>
      </c>
      <c r="E19" t="s">
        <v>66</v>
      </c>
      <c r="F19" t="s">
        <v>67</v>
      </c>
      <c r="G19" t="s">
        <v>68</v>
      </c>
    </row>
    <row r="20" spans="1:15" x14ac:dyDescent="0.4">
      <c r="A20" s="25">
        <f>B5</f>
        <v>244</v>
      </c>
      <c r="B20" s="37">
        <f>C5</f>
        <v>2018</v>
      </c>
      <c r="C20">
        <f>A20-B$28</f>
        <v>-19.399999999999977</v>
      </c>
      <c r="D20">
        <f>B20-B$29</f>
        <v>-2</v>
      </c>
      <c r="E20">
        <f t="shared" ref="E20:F24" si="0">C20^2</f>
        <v>376.3599999999991</v>
      </c>
      <c r="F20">
        <f t="shared" si="0"/>
        <v>4</v>
      </c>
      <c r="G20">
        <f t="shared" ref="G20:G24" si="1">C20*D20</f>
        <v>38.799999999999955</v>
      </c>
    </row>
    <row r="21" spans="1:15" x14ac:dyDescent="0.4">
      <c r="A21" s="25">
        <f t="shared" ref="A21:B24" si="2">B6</f>
        <v>257</v>
      </c>
      <c r="B21" s="37">
        <f t="shared" si="2"/>
        <v>2019</v>
      </c>
      <c r="C21">
        <f>A21-B$28</f>
        <v>-6.3999999999999773</v>
      </c>
      <c r="D21">
        <f>B21-B$29</f>
        <v>-1</v>
      </c>
      <c r="E21">
        <f t="shared" si="0"/>
        <v>40.95999999999971</v>
      </c>
      <c r="F21">
        <f t="shared" si="0"/>
        <v>1</v>
      </c>
      <c r="G21">
        <f t="shared" si="1"/>
        <v>6.3999999999999773</v>
      </c>
      <c r="O21" s="7"/>
    </row>
    <row r="22" spans="1:15" x14ac:dyDescent="0.4">
      <c r="A22" s="25">
        <f t="shared" si="2"/>
        <v>251</v>
      </c>
      <c r="B22" s="37">
        <f t="shared" si="2"/>
        <v>2020</v>
      </c>
      <c r="C22">
        <f>A22-B$28</f>
        <v>-12.399999999999977</v>
      </c>
      <c r="D22">
        <f>B22-B$29</f>
        <v>0</v>
      </c>
      <c r="E22">
        <f t="shared" si="0"/>
        <v>153.75999999999942</v>
      </c>
      <c r="F22">
        <f t="shared" si="0"/>
        <v>0</v>
      </c>
      <c r="G22">
        <f t="shared" si="1"/>
        <v>0</v>
      </c>
    </row>
    <row r="23" spans="1:15" x14ac:dyDescent="0.4">
      <c r="A23" s="25">
        <f t="shared" si="2"/>
        <v>272</v>
      </c>
      <c r="B23" s="37">
        <f t="shared" si="2"/>
        <v>2021</v>
      </c>
      <c r="C23">
        <f>A23-B$28</f>
        <v>8.6000000000000227</v>
      </c>
      <c r="D23">
        <f>B23-B$29</f>
        <v>1</v>
      </c>
      <c r="E23">
        <f t="shared" si="0"/>
        <v>73.960000000000392</v>
      </c>
      <c r="F23">
        <f t="shared" si="0"/>
        <v>1</v>
      </c>
      <c r="G23">
        <f t="shared" si="1"/>
        <v>8.6000000000000227</v>
      </c>
    </row>
    <row r="24" spans="1:15" x14ac:dyDescent="0.4">
      <c r="A24" s="25">
        <f t="shared" si="2"/>
        <v>293</v>
      </c>
      <c r="B24" s="37">
        <f t="shared" si="2"/>
        <v>2022</v>
      </c>
      <c r="C24">
        <f>A24-B$28</f>
        <v>29.600000000000023</v>
      </c>
      <c r="D24">
        <f>B24-B$29</f>
        <v>2</v>
      </c>
      <c r="E24">
        <f t="shared" si="0"/>
        <v>876.16000000000133</v>
      </c>
      <c r="F24">
        <f t="shared" si="0"/>
        <v>4</v>
      </c>
      <c r="G24">
        <f t="shared" si="1"/>
        <v>59.200000000000045</v>
      </c>
    </row>
    <row r="25" spans="1:15" x14ac:dyDescent="0.4">
      <c r="A25">
        <f t="shared" ref="A25:G25" si="3">SUM(A20:A24)</f>
        <v>1317</v>
      </c>
      <c r="B25">
        <f t="shared" si="3"/>
        <v>10100</v>
      </c>
      <c r="C25">
        <f t="shared" si="3"/>
        <v>1.1368683772161603E-13</v>
      </c>
      <c r="D25">
        <f t="shared" si="3"/>
        <v>0</v>
      </c>
      <c r="E25">
        <f t="shared" si="3"/>
        <v>1521.1999999999998</v>
      </c>
      <c r="F25">
        <f t="shared" si="3"/>
        <v>10</v>
      </c>
      <c r="G25">
        <f t="shared" si="3"/>
        <v>113</v>
      </c>
    </row>
    <row r="26" spans="1:15" x14ac:dyDescent="0.4">
      <c r="J26" s="8"/>
      <c r="K26" s="7"/>
      <c r="L26" s="8"/>
    </row>
    <row r="28" spans="1:15" x14ac:dyDescent="0.4">
      <c r="A28" t="s">
        <v>69</v>
      </c>
      <c r="B28">
        <f>A25/5</f>
        <v>263.39999999999998</v>
      </c>
    </row>
    <row r="29" spans="1:15" x14ac:dyDescent="0.4">
      <c r="A29" t="s">
        <v>70</v>
      </c>
      <c r="B29">
        <f>B25/5</f>
        <v>2020</v>
      </c>
    </row>
    <row r="31" spans="1:15" x14ac:dyDescent="0.4">
      <c r="A31" t="s">
        <v>71</v>
      </c>
      <c r="B31">
        <f>B28-B32*B29</f>
        <v>-22562.6</v>
      </c>
    </row>
    <row r="32" spans="1:15" x14ac:dyDescent="0.4">
      <c r="A32" t="s">
        <v>72</v>
      </c>
      <c r="B32">
        <f>G25/F25</f>
        <v>11.3</v>
      </c>
      <c r="D32" s="25" t="s">
        <v>137</v>
      </c>
    </row>
    <row r="36" spans="2:2" x14ac:dyDescent="0.4">
      <c r="B36">
        <v>100</v>
      </c>
    </row>
    <row r="37" spans="2:2" x14ac:dyDescent="0.4">
      <c r="B37">
        <v>100</v>
      </c>
    </row>
    <row r="58" spans="1:4" x14ac:dyDescent="0.4">
      <c r="A58" s="25" t="s">
        <v>10</v>
      </c>
    </row>
    <row r="59" spans="1:4" x14ac:dyDescent="0.4">
      <c r="A59" s="25" t="s">
        <v>138</v>
      </c>
      <c r="C59">
        <f>B31+B32*2023</f>
        <v>297.30000000000291</v>
      </c>
      <c r="D59" t="s">
        <v>123</v>
      </c>
    </row>
    <row r="61" spans="1:4" x14ac:dyDescent="0.4">
      <c r="A61" t="s">
        <v>27</v>
      </c>
    </row>
    <row r="62" spans="1:4" x14ac:dyDescent="0.4">
      <c r="A62" t="s">
        <v>74</v>
      </c>
      <c r="B62">
        <f>G25^2/E25/F25</f>
        <v>0.83940310281356845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Y32"/>
  <sheetViews>
    <sheetView topLeftCell="A11" zoomScale="150" zoomScaleNormal="150" workbookViewId="0"/>
  </sheetViews>
  <sheetFormatPr defaultRowHeight="12.3" x14ac:dyDescent="0.4"/>
  <cols>
    <col min="1" max="1" width="11.109375" customWidth="1"/>
    <col min="2" max="2" width="10.88671875" customWidth="1"/>
    <col min="3" max="3" width="9.77734375" customWidth="1"/>
    <col min="4" max="4" width="11" customWidth="1"/>
    <col min="5" max="5" width="5" customWidth="1"/>
    <col min="6" max="6" width="9.6640625" customWidth="1"/>
    <col min="7" max="7" width="6.6640625" customWidth="1"/>
    <col min="8" max="8" width="12.6640625" bestFit="1" customWidth="1"/>
    <col min="10" max="10" width="10.44140625" bestFit="1" customWidth="1"/>
    <col min="12" max="12" width="9.44140625" bestFit="1" customWidth="1"/>
    <col min="16" max="16" width="9.44140625" bestFit="1" customWidth="1"/>
  </cols>
  <sheetData>
    <row r="1" spans="1:103" x14ac:dyDescent="0.4">
      <c r="A1" s="2" t="s">
        <v>128</v>
      </c>
      <c r="B1" s="2"/>
    </row>
    <row r="2" spans="1:103" x14ac:dyDescent="0.4">
      <c r="A2" s="2" t="s">
        <v>129</v>
      </c>
      <c r="B2" s="2"/>
    </row>
    <row r="3" spans="1:103" x14ac:dyDescent="0.4">
      <c r="A3" s="2" t="s">
        <v>130</v>
      </c>
      <c r="B3" s="2"/>
    </row>
    <row r="4" spans="1:103" x14ac:dyDescent="0.4">
      <c r="A4" s="2" t="s">
        <v>98</v>
      </c>
      <c r="B4" s="42"/>
      <c r="C4" s="42"/>
    </row>
    <row r="5" spans="1:103" s="2" customFormat="1" x14ac:dyDescent="0.4">
      <c r="A5" s="2" t="s">
        <v>131</v>
      </c>
    </row>
    <row r="6" spans="1:103" x14ac:dyDescent="0.4">
      <c r="A6" s="2" t="s">
        <v>132</v>
      </c>
      <c r="B6" s="42"/>
      <c r="C6" s="42"/>
    </row>
    <row r="8" spans="1:103" x14ac:dyDescent="0.4">
      <c r="A8" s="25" t="s">
        <v>0</v>
      </c>
    </row>
    <row r="9" spans="1:103" x14ac:dyDescent="0.4">
      <c r="A9" s="2"/>
    </row>
    <row r="10" spans="1:103" s="44" customFormat="1" x14ac:dyDescent="0.4">
      <c r="A10" s="43" t="s">
        <v>9</v>
      </c>
      <c r="B10" s="44">
        <v>1500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</row>
    <row r="11" spans="1:103" x14ac:dyDescent="0.4">
      <c r="A11" s="25" t="s">
        <v>89</v>
      </c>
      <c r="B11">
        <v>650</v>
      </c>
    </row>
    <row r="12" spans="1:103" x14ac:dyDescent="0.4">
      <c r="A12" t="s">
        <v>99</v>
      </c>
      <c r="B12">
        <v>2000</v>
      </c>
      <c r="C12" s="7" t="s">
        <v>100</v>
      </c>
      <c r="D12">
        <f>(B12-B10)/B11</f>
        <v>0.76923076923076927</v>
      </c>
      <c r="E12" t="s">
        <v>90</v>
      </c>
      <c r="F12">
        <f>1-_xlfn.NORM.S.DIST(D12,TRUE)</f>
        <v>0.22087816371245972</v>
      </c>
    </row>
    <row r="13" spans="1:103" x14ac:dyDescent="0.4">
      <c r="C13" s="7"/>
      <c r="E13" s="7"/>
    </row>
    <row r="14" spans="1:103" x14ac:dyDescent="0.4">
      <c r="A14" t="s">
        <v>1</v>
      </c>
    </row>
    <row r="15" spans="1:103" x14ac:dyDescent="0.4">
      <c r="A15" t="s">
        <v>91</v>
      </c>
      <c r="B15">
        <v>0.1</v>
      </c>
    </row>
    <row r="16" spans="1:103" x14ac:dyDescent="0.4">
      <c r="A16" s="46" t="s">
        <v>92</v>
      </c>
      <c r="C16">
        <v>0.1</v>
      </c>
    </row>
    <row r="17" spans="1:103" x14ac:dyDescent="0.4">
      <c r="A17" s="25" t="s">
        <v>93</v>
      </c>
      <c r="B17" s="7"/>
      <c r="C17" s="7">
        <f>_xlfn.NORM.S.INV(1-C16)</f>
        <v>1.2815515655446006</v>
      </c>
      <c r="D17" s="47"/>
      <c r="E17" s="48"/>
      <c r="F17" s="47"/>
      <c r="G17" s="48"/>
      <c r="H17" s="47"/>
      <c r="I17" s="48"/>
      <c r="J17" s="47"/>
      <c r="K17" s="48"/>
      <c r="L17" s="47"/>
      <c r="M17" s="48"/>
      <c r="N17" s="47"/>
      <c r="O17" s="7"/>
      <c r="P17" s="47"/>
    </row>
    <row r="18" spans="1:103" x14ac:dyDescent="0.4">
      <c r="A18" s="25" t="s">
        <v>94</v>
      </c>
      <c r="B18">
        <f>C17*B11+B10</f>
        <v>2333.0085176039902</v>
      </c>
    </row>
    <row r="20" spans="1:103" x14ac:dyDescent="0.4">
      <c r="A20" s="25" t="s">
        <v>10</v>
      </c>
    </row>
    <row r="21" spans="1:103" x14ac:dyDescent="0.4">
      <c r="A21" s="25" t="s">
        <v>95</v>
      </c>
      <c r="B21">
        <v>1400</v>
      </c>
      <c r="C21" s="25" t="s">
        <v>96</v>
      </c>
      <c r="D21">
        <f>(B21-B10)/(B11/SQRT(10))</f>
        <v>-0.48650425541051995</v>
      </c>
      <c r="E21" s="25" t="s">
        <v>90</v>
      </c>
      <c r="F21">
        <f>_xlfn.NORM.S.DIST(D21,TRUE)</f>
        <v>0.31330484447884427</v>
      </c>
    </row>
    <row r="22" spans="1:103" x14ac:dyDescent="0.4"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</row>
    <row r="23" spans="1:103" x14ac:dyDescent="0.4">
      <c r="A23" s="25" t="s">
        <v>27</v>
      </c>
    </row>
    <row r="24" spans="1:103" x14ac:dyDescent="0.4">
      <c r="A24" s="25" t="s">
        <v>101</v>
      </c>
      <c r="B24">
        <f>_xlfn.BINOM.DIST(0,3,F12,FALSE)</f>
        <v>0.47295097945612741</v>
      </c>
      <c r="C24" s="7" t="s">
        <v>102</v>
      </c>
      <c r="D24" s="50">
        <f>_xlfn.BINOM.DIST(1,3,F12,FALSE)</f>
        <v>0.40223956897182389</v>
      </c>
      <c r="F24" s="50" t="s">
        <v>97</v>
      </c>
      <c r="G24">
        <f>B24+D24</f>
        <v>0.8751905484279513</v>
      </c>
    </row>
    <row r="25" spans="1:103" x14ac:dyDescent="0.4"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</row>
    <row r="32" spans="1:103" x14ac:dyDescent="0.4">
      <c r="A32" s="6"/>
    </row>
  </sheetData>
  <phoneticPr fontId="2" type="noConversion"/>
  <pageMargins left="0.75" right="0.75" top="1" bottom="1" header="0.5" footer="0.5"/>
  <pageSetup paperSize="9" scale="81" orientation="portrait" r:id="rId1"/>
  <headerFooter alignWithMargins="0"/>
  <colBreaks count="1" manualBreakCount="1">
    <brk id="12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"/>
  <sheetViews>
    <sheetView zoomScale="160" zoomScaleNormal="160" workbookViewId="0">
      <selection sqref="A1:A7"/>
    </sheetView>
  </sheetViews>
  <sheetFormatPr defaultColWidth="9.109375" defaultRowHeight="12.3" x14ac:dyDescent="0.4"/>
  <cols>
    <col min="1" max="1" width="27.33203125" style="3" customWidth="1"/>
    <col min="2" max="2" width="6.109375" style="3" customWidth="1"/>
    <col min="3" max="3" width="7.109375" style="3" customWidth="1"/>
    <col min="4" max="4" width="6.5546875" style="3" customWidth="1"/>
    <col min="5" max="5" width="6.88671875" style="3" customWidth="1"/>
    <col min="6" max="6" width="6.33203125" style="3" customWidth="1"/>
    <col min="7" max="7" width="6.109375" style="3" customWidth="1"/>
    <col min="8" max="8" width="6" style="3" customWidth="1"/>
    <col min="9" max="10" width="4.88671875" style="3" customWidth="1"/>
    <col min="11" max="11" width="6.109375" style="3" customWidth="1"/>
    <col min="12" max="12" width="6.5546875" style="3" customWidth="1"/>
    <col min="13" max="13" width="6.6640625" style="3" customWidth="1"/>
    <col min="14" max="16384" width="9.109375" style="3"/>
  </cols>
  <sheetData>
    <row r="1" spans="1:5" ht="15" x14ac:dyDescent="0.5">
      <c r="A1" s="2" t="s">
        <v>21</v>
      </c>
      <c r="B1"/>
      <c r="C1"/>
      <c r="D1"/>
      <c r="E1" s="4"/>
    </row>
    <row r="2" spans="1:5" ht="15" x14ac:dyDescent="0.5">
      <c r="A2" s="2" t="s">
        <v>133</v>
      </c>
      <c r="B2"/>
      <c r="C2"/>
      <c r="D2"/>
      <c r="E2" s="4"/>
    </row>
    <row r="3" spans="1:5" ht="15" x14ac:dyDescent="0.5">
      <c r="A3" s="2" t="s">
        <v>134</v>
      </c>
      <c r="B3"/>
      <c r="C3"/>
      <c r="D3"/>
      <c r="E3" s="4"/>
    </row>
    <row r="4" spans="1:5" x14ac:dyDescent="0.4">
      <c r="A4" s="2" t="s">
        <v>22</v>
      </c>
    </row>
    <row r="5" spans="1:5" ht="15" x14ac:dyDescent="0.5">
      <c r="A5" s="2" t="s">
        <v>117</v>
      </c>
      <c r="B5"/>
      <c r="C5"/>
      <c r="D5"/>
      <c r="E5" s="4"/>
    </row>
    <row r="6" spans="1:5" ht="15" x14ac:dyDescent="0.5">
      <c r="A6" s="2" t="s">
        <v>118</v>
      </c>
      <c r="B6"/>
      <c r="C6"/>
      <c r="D6"/>
      <c r="E6" s="4"/>
    </row>
    <row r="7" spans="1:5" ht="15" x14ac:dyDescent="0.5">
      <c r="A7" s="2" t="s">
        <v>119</v>
      </c>
      <c r="B7"/>
      <c r="C7"/>
      <c r="D7"/>
      <c r="E7" s="4"/>
    </row>
    <row r="8" spans="1:5" ht="15" x14ac:dyDescent="0.5">
      <c r="A8" s="17" t="s">
        <v>11</v>
      </c>
      <c r="B8">
        <f>1-B9</f>
        <v>0.21999999999999997</v>
      </c>
      <c r="C8"/>
      <c r="D8"/>
      <c r="E8" s="4"/>
    </row>
    <row r="9" spans="1:5" ht="15" x14ac:dyDescent="0.5">
      <c r="A9" s="17" t="s">
        <v>12</v>
      </c>
      <c r="B9">
        <v>0.78</v>
      </c>
      <c r="C9"/>
      <c r="D9"/>
      <c r="E9" s="4"/>
    </row>
    <row r="10" spans="1:5" ht="15" x14ac:dyDescent="0.5">
      <c r="A10" s="17"/>
      <c r="B10"/>
      <c r="C10"/>
      <c r="D10"/>
      <c r="E10" s="4"/>
    </row>
    <row r="11" spans="1:5" x14ac:dyDescent="0.4">
      <c r="A11" s="17" t="s">
        <v>13</v>
      </c>
      <c r="B11">
        <v>0.04</v>
      </c>
      <c r="C11"/>
      <c r="D11">
        <f>B11*B8</f>
        <v>8.7999999999999988E-3</v>
      </c>
    </row>
    <row r="12" spans="1:5" x14ac:dyDescent="0.4">
      <c r="A12" s="17" t="s">
        <v>14</v>
      </c>
      <c r="B12">
        <v>2.5000000000000001E-2</v>
      </c>
      <c r="C12"/>
      <c r="D12">
        <f>B12*B9</f>
        <v>1.9500000000000003E-2</v>
      </c>
    </row>
    <row r="13" spans="1:5" x14ac:dyDescent="0.4">
      <c r="A13" s="17"/>
      <c r="B13"/>
      <c r="C13"/>
      <c r="D13"/>
    </row>
    <row r="14" spans="1:5" x14ac:dyDescent="0.4">
      <c r="A14" s="17" t="s">
        <v>0</v>
      </c>
      <c r="B14"/>
      <c r="C14"/>
      <c r="D14">
        <f>0.04*0.22</f>
        <v>8.8000000000000005E-3</v>
      </c>
    </row>
    <row r="15" spans="1:5" x14ac:dyDescent="0.4">
      <c r="A15" s="17" t="s">
        <v>23</v>
      </c>
      <c r="B15">
        <f>B11*B8+B12*B9</f>
        <v>2.8300000000000002E-2</v>
      </c>
      <c r="C15"/>
      <c r="D15"/>
    </row>
    <row r="16" spans="1:5" x14ac:dyDescent="0.4">
      <c r="A16" s="17" t="s">
        <v>1</v>
      </c>
      <c r="B16"/>
      <c r="C16"/>
      <c r="D16"/>
    </row>
    <row r="17" spans="1:4" x14ac:dyDescent="0.4">
      <c r="A17" s="17" t="s">
        <v>120</v>
      </c>
      <c r="B17">
        <f>B12*B9/(B12*B9+B11*B8)</f>
        <v>0.68904593639575984</v>
      </c>
      <c r="C17"/>
      <c r="D17"/>
    </row>
    <row r="18" spans="1:4" x14ac:dyDescent="0.4">
      <c r="A18" s="20" t="s">
        <v>10</v>
      </c>
    </row>
    <row r="19" spans="1:4" x14ac:dyDescent="0.4">
      <c r="A19" s="26" t="s">
        <v>24</v>
      </c>
    </row>
    <row r="20" spans="1:4" x14ac:dyDescent="0.4">
      <c r="A20" s="26" t="s">
        <v>15</v>
      </c>
      <c r="B20" s="3">
        <v>5</v>
      </c>
    </row>
    <row r="21" spans="1:4" x14ac:dyDescent="0.4">
      <c r="A21" s="26" t="s">
        <v>25</v>
      </c>
      <c r="B21" s="3">
        <f>B15</f>
        <v>2.8300000000000002E-2</v>
      </c>
    </row>
    <row r="22" spans="1:4" x14ac:dyDescent="0.4">
      <c r="A22" s="26" t="s">
        <v>26</v>
      </c>
      <c r="B22" s="3">
        <f>BINOMDIST(0,B20,B21,FALSE)</f>
        <v>0.86628543710163886</v>
      </c>
    </row>
    <row r="23" spans="1:4" x14ac:dyDescent="0.4">
      <c r="A23" s="26" t="s">
        <v>27</v>
      </c>
    </row>
    <row r="24" spans="1:4" x14ac:dyDescent="0.4">
      <c r="A24" s="26" t="s">
        <v>28</v>
      </c>
    </row>
    <row r="25" spans="1:4" x14ac:dyDescent="0.4">
      <c r="A25" s="26" t="s">
        <v>29</v>
      </c>
    </row>
    <row r="26" spans="1:4" x14ac:dyDescent="0.4">
      <c r="A26" s="27" t="s">
        <v>9</v>
      </c>
      <c r="B26" s="3">
        <f>1000*B21</f>
        <v>28.3</v>
      </c>
    </row>
    <row r="27" spans="1:4" x14ac:dyDescent="0.4">
      <c r="A27" s="27" t="s">
        <v>30</v>
      </c>
      <c r="B27" s="3">
        <f>SQRT(1000*B21*(1-B21))</f>
        <v>5.243959381993724</v>
      </c>
    </row>
    <row r="28" spans="1:4" x14ac:dyDescent="0.4">
      <c r="A28" s="26" t="s">
        <v>121</v>
      </c>
      <c r="B28" s="3">
        <f>NORMDIST(25.5,B26,B27,TRUE)</f>
        <v>0.29668886282615636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S50"/>
  <sheetViews>
    <sheetView topLeftCell="A4" zoomScale="150" zoomScaleNormal="150" workbookViewId="0">
      <selection activeCell="M21" sqref="M21"/>
    </sheetView>
  </sheetViews>
  <sheetFormatPr defaultRowHeight="12.3" x14ac:dyDescent="0.4"/>
  <cols>
    <col min="2" max="2" width="10.5546875" bestFit="1" customWidth="1"/>
    <col min="3" max="3" width="12.44140625" bestFit="1" customWidth="1"/>
  </cols>
  <sheetData>
    <row r="1" spans="1:2" x14ac:dyDescent="0.4">
      <c r="A1" s="38" t="s">
        <v>135</v>
      </c>
    </row>
    <row r="2" spans="1:2" x14ac:dyDescent="0.4">
      <c r="A2" s="38" t="s">
        <v>82</v>
      </c>
    </row>
    <row r="3" spans="1:2" x14ac:dyDescent="0.4">
      <c r="A3" s="2" t="s">
        <v>136</v>
      </c>
    </row>
    <row r="4" spans="1:2" x14ac:dyDescent="0.4">
      <c r="A4" s="2" t="s">
        <v>83</v>
      </c>
    </row>
    <row r="5" spans="1:2" x14ac:dyDescent="0.4">
      <c r="A5" s="2" t="s">
        <v>84</v>
      </c>
    </row>
    <row r="6" spans="1:2" x14ac:dyDescent="0.4">
      <c r="A6" s="2" t="s">
        <v>85</v>
      </c>
    </row>
    <row r="7" spans="1:2" x14ac:dyDescent="0.4">
      <c r="A7" s="2" t="s">
        <v>87</v>
      </c>
    </row>
    <row r="8" spans="1:2" x14ac:dyDescent="0.4">
      <c r="A8" s="2" t="s">
        <v>88</v>
      </c>
    </row>
    <row r="9" spans="1:2" x14ac:dyDescent="0.4">
      <c r="A9" s="2" t="s">
        <v>75</v>
      </c>
    </row>
    <row r="10" spans="1:2" x14ac:dyDescent="0.4">
      <c r="A10" s="2"/>
    </row>
    <row r="11" spans="1:2" x14ac:dyDescent="0.4">
      <c r="A11" s="40" t="s">
        <v>15</v>
      </c>
      <c r="B11" s="8">
        <v>3500</v>
      </c>
    </row>
    <row r="13" spans="1:2" x14ac:dyDescent="0.4">
      <c r="A13" s="26" t="s">
        <v>25</v>
      </c>
      <c r="B13" s="28">
        <f>800/B11</f>
        <v>0.22857142857142856</v>
      </c>
    </row>
    <row r="15" spans="1:2" x14ac:dyDescent="0.4">
      <c r="A15" t="s">
        <v>0</v>
      </c>
    </row>
    <row r="16" spans="1:2" x14ac:dyDescent="0.4">
      <c r="A16" s="6" t="s">
        <v>16</v>
      </c>
      <c r="B16">
        <v>0.05</v>
      </c>
    </row>
    <row r="17" spans="1:201" ht="14.7" x14ac:dyDescent="0.6">
      <c r="A17" s="25" t="s">
        <v>51</v>
      </c>
      <c r="B17" s="39">
        <f>NORMSINV(1-B16)</f>
        <v>1.6448536269514715</v>
      </c>
    </row>
    <row r="18" spans="1:201" x14ac:dyDescent="0.4">
      <c r="A18" s="40" t="s">
        <v>52</v>
      </c>
      <c r="B18" s="8"/>
      <c r="C18">
        <f>(B13-0.3)/SQRT(0.3*(1-0.3)/B11)</f>
        <v>-9.221388919541468</v>
      </c>
    </row>
    <row r="19" spans="1:201" x14ac:dyDescent="0.4">
      <c r="A19" s="40"/>
      <c r="B19" s="8"/>
    </row>
    <row r="20" spans="1:201" x14ac:dyDescent="0.4">
      <c r="A20" s="40" t="s">
        <v>86</v>
      </c>
    </row>
    <row r="21" spans="1:201" x14ac:dyDescent="0.4">
      <c r="A21" s="40"/>
    </row>
    <row r="22" spans="1:201" x14ac:dyDescent="0.4">
      <c r="A22" s="40" t="s">
        <v>1</v>
      </c>
      <c r="B22" s="16"/>
    </row>
    <row r="23" spans="1:201" x14ac:dyDescent="0.4">
      <c r="A23" s="40" t="s">
        <v>25</v>
      </c>
      <c r="B23" s="28">
        <f>B13</f>
        <v>0.22857142857142856</v>
      </c>
    </row>
    <row r="24" spans="1:201" x14ac:dyDescent="0.4">
      <c r="A24" s="6" t="s">
        <v>44</v>
      </c>
      <c r="B24">
        <v>0.99</v>
      </c>
    </row>
    <row r="25" spans="1:201" ht="14.7" x14ac:dyDescent="0.6">
      <c r="A25" s="25" t="s">
        <v>76</v>
      </c>
      <c r="B25" s="39">
        <f>NORMSINV(B24+(1-B24)/2)</f>
        <v>2.5758293035488999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</row>
    <row r="26" spans="1:201" x14ac:dyDescent="0.4">
      <c r="A26" s="25"/>
      <c r="B26" s="16"/>
    </row>
    <row r="27" spans="1:201" x14ac:dyDescent="0.4">
      <c r="A27" s="25" t="s">
        <v>77</v>
      </c>
      <c r="F27">
        <f>B23-B25*SQRT(B23*(1-B23)/B11)</f>
        <v>0.21028866308329702</v>
      </c>
    </row>
    <row r="28" spans="1:201" x14ac:dyDescent="0.4">
      <c r="A28" s="25" t="s">
        <v>78</v>
      </c>
      <c r="F28">
        <f>B23+B25*SQRT(B23*(1-B23)/B11)</f>
        <v>0.24685419405956011</v>
      </c>
    </row>
    <row r="29" spans="1:201" x14ac:dyDescent="0.4">
      <c r="A29" s="40"/>
    </row>
    <row r="30" spans="1:201" x14ac:dyDescent="0.4">
      <c r="A30" s="40" t="s">
        <v>79</v>
      </c>
      <c r="C30">
        <f>F28-F27</f>
        <v>3.6565530976263083E-2</v>
      </c>
    </row>
    <row r="31" spans="1:201" x14ac:dyDescent="0.4">
      <c r="A31" s="40" t="s">
        <v>10</v>
      </c>
    </row>
    <row r="32" spans="1:201" x14ac:dyDescent="0.4">
      <c r="A32" s="40" t="s">
        <v>80</v>
      </c>
      <c r="B32">
        <f>4*B25^2*B23*(1-B23)/0.03^2</f>
        <v>5199.5924383513166</v>
      </c>
    </row>
    <row r="33" spans="1:2" x14ac:dyDescent="0.4">
      <c r="A33" s="40" t="s">
        <v>81</v>
      </c>
    </row>
    <row r="34" spans="1:2" x14ac:dyDescent="0.4">
      <c r="A34" s="40" t="s">
        <v>80</v>
      </c>
      <c r="B34">
        <f>4*B25^2*0.5^2/0.03^2</f>
        <v>7372.1073344680126</v>
      </c>
    </row>
    <row r="36" spans="1:2" x14ac:dyDescent="0.4">
      <c r="A36" t="s">
        <v>27</v>
      </c>
    </row>
    <row r="37" spans="1:2" x14ac:dyDescent="0.4">
      <c r="A37" t="s">
        <v>139</v>
      </c>
    </row>
    <row r="50" spans="1:1" x14ac:dyDescent="0.4">
      <c r="A50" s="31"/>
    </row>
  </sheetData>
  <phoneticPr fontId="2" type="noConversion"/>
  <pageMargins left="0.75" right="0.75" top="1" bottom="1" header="0.5" footer="0.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7"/>
  <sheetViews>
    <sheetView tabSelected="1" topLeftCell="A7" zoomScale="150" zoomScaleNormal="150" workbookViewId="0">
      <selection activeCell="B36" sqref="B36"/>
    </sheetView>
  </sheetViews>
  <sheetFormatPr defaultRowHeight="12.3" x14ac:dyDescent="0.4"/>
  <cols>
    <col min="1" max="1" width="11.44140625" customWidth="1"/>
    <col min="2" max="2" width="6.33203125" customWidth="1"/>
    <col min="3" max="3" width="6.6640625" customWidth="1"/>
    <col min="4" max="4" width="7.109375" customWidth="1"/>
    <col min="5" max="5" width="7.33203125" customWidth="1"/>
    <col min="6" max="6" width="6.5546875" customWidth="1"/>
    <col min="7" max="7" width="6.109375" customWidth="1"/>
    <col min="8" max="8" width="4.88671875" customWidth="1"/>
    <col min="9" max="9" width="6.44140625" customWidth="1"/>
    <col min="10" max="10" width="5.5546875" customWidth="1"/>
    <col min="11" max="11" width="4.109375" customWidth="1"/>
  </cols>
  <sheetData>
    <row r="1" spans="1:10" x14ac:dyDescent="0.4">
      <c r="A1" s="2" t="s">
        <v>108</v>
      </c>
    </row>
    <row r="2" spans="1:10" x14ac:dyDescent="0.4">
      <c r="A2" s="2" t="s">
        <v>106</v>
      </c>
    </row>
    <row r="3" spans="1:10" x14ac:dyDescent="0.4">
      <c r="A3" s="2" t="s">
        <v>41</v>
      </c>
    </row>
    <row r="4" spans="1:10" x14ac:dyDescent="0.4">
      <c r="A4" s="2"/>
    </row>
    <row r="5" spans="1:10" x14ac:dyDescent="0.4">
      <c r="A5" s="2">
        <v>500</v>
      </c>
      <c r="B5" s="2">
        <v>502</v>
      </c>
      <c r="C5" s="2">
        <v>498</v>
      </c>
      <c r="D5" s="2">
        <v>491</v>
      </c>
      <c r="E5" s="2">
        <v>494</v>
      </c>
      <c r="F5" s="2">
        <v>492</v>
      </c>
      <c r="G5" s="2"/>
      <c r="H5" s="2"/>
      <c r="I5" s="2"/>
      <c r="J5" s="2"/>
    </row>
    <row r="6" spans="1:10" x14ac:dyDescent="0.4">
      <c r="A6" s="2"/>
    </row>
    <row r="7" spans="1:10" x14ac:dyDescent="0.4">
      <c r="A7" s="2" t="s">
        <v>107</v>
      </c>
    </row>
    <row r="8" spans="1:10" x14ac:dyDescent="0.4">
      <c r="A8" s="2" t="s">
        <v>109</v>
      </c>
    </row>
    <row r="9" spans="1:10" s="2" customFormat="1" x14ac:dyDescent="0.4">
      <c r="A9" s="2" t="s">
        <v>110</v>
      </c>
    </row>
    <row r="10" spans="1:10" s="2" customFormat="1" x14ac:dyDescent="0.4">
      <c r="A10" s="2" t="s">
        <v>111</v>
      </c>
    </row>
    <row r="11" spans="1:10" x14ac:dyDescent="0.4">
      <c r="A11" s="21" t="s">
        <v>9</v>
      </c>
      <c r="B11">
        <v>500</v>
      </c>
      <c r="C11" s="25" t="s">
        <v>112</v>
      </c>
    </row>
    <row r="12" spans="1:10" x14ac:dyDescent="0.4">
      <c r="A12" s="17" t="s">
        <v>15</v>
      </c>
      <c r="B12">
        <v>6</v>
      </c>
    </row>
    <row r="14" spans="1:10" x14ac:dyDescent="0.4">
      <c r="A14" s="25" t="s">
        <v>113</v>
      </c>
    </row>
    <row r="15" spans="1:10" x14ac:dyDescent="0.4">
      <c r="A15" s="25"/>
    </row>
    <row r="16" spans="1:10" x14ac:dyDescent="0.4">
      <c r="A16" s="25" t="s">
        <v>0</v>
      </c>
    </row>
    <row r="17" spans="1:12" x14ac:dyDescent="0.4">
      <c r="A17" s="25" t="s">
        <v>48</v>
      </c>
      <c r="B17">
        <f>AVERAGE(A5:F5)</f>
        <v>496.16666666666669</v>
      </c>
      <c r="L17">
        <f>0.14*250</f>
        <v>35</v>
      </c>
    </row>
    <row r="18" spans="1:12" x14ac:dyDescent="0.4">
      <c r="A18" s="25" t="s">
        <v>30</v>
      </c>
      <c r="B18">
        <f>SQRT(_xlfn.VAR.S(A5:J5))</f>
        <v>4.4907311951024935</v>
      </c>
      <c r="D18" t="s">
        <v>122</v>
      </c>
      <c r="E18">
        <f>B18^2</f>
        <v>20.166666666666671</v>
      </c>
    </row>
    <row r="19" spans="1:12" x14ac:dyDescent="0.4">
      <c r="A19" s="6" t="s">
        <v>44</v>
      </c>
      <c r="B19">
        <v>0.9</v>
      </c>
    </row>
    <row r="20" spans="1:12" ht="14.7" x14ac:dyDescent="0.6">
      <c r="A20" s="25" t="s">
        <v>45</v>
      </c>
      <c r="B20">
        <f>_xlfn.T.INV.2T(1-B19,B12-1)</f>
        <v>2.0150483733330233</v>
      </c>
    </row>
    <row r="21" spans="1:12" x14ac:dyDescent="0.4">
      <c r="A21" s="25" t="s">
        <v>46</v>
      </c>
      <c r="C21" s="29">
        <f>B17-B20*B18/SQRT(B12)</f>
        <v>492.47241131555614</v>
      </c>
    </row>
    <row r="22" spans="1:12" x14ac:dyDescent="0.4">
      <c r="A22" s="25" t="s">
        <v>47</v>
      </c>
      <c r="C22" s="29">
        <f>B17+B20*B18/SQRT(B12)</f>
        <v>499.86092201777723</v>
      </c>
    </row>
    <row r="23" spans="1:12" x14ac:dyDescent="0.4">
      <c r="A23" s="25"/>
      <c r="C23" s="29"/>
    </row>
    <row r="24" spans="1:12" x14ac:dyDescent="0.4">
      <c r="A24" s="25" t="s">
        <v>1</v>
      </c>
      <c r="C24" s="29"/>
    </row>
    <row r="25" spans="1:12" x14ac:dyDescent="0.4">
      <c r="A25" s="6" t="s">
        <v>44</v>
      </c>
      <c r="B25">
        <v>0.95</v>
      </c>
      <c r="C25" s="29"/>
    </row>
    <row r="26" spans="1:12" ht="14.7" x14ac:dyDescent="0.6">
      <c r="A26" s="25" t="s">
        <v>49</v>
      </c>
      <c r="B26">
        <f>CHIINV(B25+(1-B25)/2,B12-1)</f>
        <v>0.83121161348666384</v>
      </c>
      <c r="C26" s="25" t="s">
        <v>50</v>
      </c>
      <c r="D26">
        <f>CHIINV((1-B25)/2,B12-1)</f>
        <v>12.832501994030025</v>
      </c>
    </row>
    <row r="27" spans="1:12" x14ac:dyDescent="0.4">
      <c r="A27" s="25" t="s">
        <v>46</v>
      </c>
      <c r="C27" s="29"/>
      <c r="D27">
        <f>(B12-1)*B18^2/D26</f>
        <v>7.8576518733636931</v>
      </c>
    </row>
    <row r="28" spans="1:12" x14ac:dyDescent="0.4">
      <c r="A28" s="25" t="s">
        <v>47</v>
      </c>
      <c r="C28" s="29"/>
      <c r="D28">
        <f>(B12-1)*B18^2/B26</f>
        <v>121.30886009925938</v>
      </c>
    </row>
    <row r="29" spans="1:12" x14ac:dyDescent="0.4">
      <c r="A29" s="25"/>
      <c r="C29" s="29"/>
    </row>
    <row r="30" spans="1:12" x14ac:dyDescent="0.4">
      <c r="A30" s="25" t="s">
        <v>10</v>
      </c>
    </row>
    <row r="31" spans="1:12" ht="14.7" x14ac:dyDescent="0.6">
      <c r="A31" s="25" t="s">
        <v>42</v>
      </c>
      <c r="B31">
        <v>500</v>
      </c>
    </row>
    <row r="32" spans="1:12" ht="14.7" x14ac:dyDescent="0.6">
      <c r="A32" s="25" t="s">
        <v>43</v>
      </c>
      <c r="B32">
        <v>500</v>
      </c>
    </row>
    <row r="34" spans="1:12" x14ac:dyDescent="0.4">
      <c r="A34" s="6" t="s">
        <v>16</v>
      </c>
      <c r="B34">
        <v>0.01</v>
      </c>
    </row>
    <row r="35" spans="1:12" ht="14.7" x14ac:dyDescent="0.6">
      <c r="A35" t="s">
        <v>19</v>
      </c>
      <c r="B35">
        <f>-TINV(2*B34,B12-1)</f>
        <v>-3.3649299989072183</v>
      </c>
    </row>
    <row r="37" spans="1:12" x14ac:dyDescent="0.4">
      <c r="A37" t="s">
        <v>17</v>
      </c>
      <c r="B37">
        <f>AVERAGE(A5:J5)</f>
        <v>496.16666666666669</v>
      </c>
    </row>
    <row r="38" spans="1:12" ht="13.8" x14ac:dyDescent="0.4">
      <c r="A38" t="s">
        <v>18</v>
      </c>
      <c r="B38">
        <f>_xlfn.VAR.S(A5:J5)</f>
        <v>20.166666666666668</v>
      </c>
    </row>
    <row r="40" spans="1:12" x14ac:dyDescent="0.4">
      <c r="A40" t="s">
        <v>20</v>
      </c>
      <c r="B40">
        <f>(B37-B11)/SQRT(B38/B12)</f>
        <v>-2.0909090909090806</v>
      </c>
    </row>
    <row r="42" spans="1:12" x14ac:dyDescent="0.4">
      <c r="A42" s="25" t="s">
        <v>114</v>
      </c>
    </row>
    <row r="43" spans="1:12" x14ac:dyDescent="0.4">
      <c r="A43" s="25" t="s">
        <v>103</v>
      </c>
      <c r="L43" s="7"/>
    </row>
    <row r="46" spans="1:12" x14ac:dyDescent="0.4">
      <c r="A46" s="25" t="s">
        <v>10</v>
      </c>
    </row>
    <row r="47" spans="1:12" ht="14.7" x14ac:dyDescent="0.6">
      <c r="A47" s="25" t="s">
        <v>104</v>
      </c>
      <c r="B47">
        <v>4</v>
      </c>
    </row>
    <row r="48" spans="1:12" ht="14.7" x14ac:dyDescent="0.6">
      <c r="A48" s="25" t="s">
        <v>115</v>
      </c>
      <c r="B48">
        <v>4</v>
      </c>
    </row>
    <row r="49" spans="1:9" x14ac:dyDescent="0.4">
      <c r="G49" s="8"/>
      <c r="H49" s="7"/>
      <c r="I49" s="8"/>
    </row>
    <row r="50" spans="1:9" x14ac:dyDescent="0.4">
      <c r="A50" s="6" t="s">
        <v>16</v>
      </c>
      <c r="B50">
        <v>0.1</v>
      </c>
    </row>
    <row r="51" spans="1:9" ht="14.7" x14ac:dyDescent="0.6">
      <c r="A51" s="25" t="s">
        <v>49</v>
      </c>
      <c r="B51">
        <f>CHIINV(B50/2,B12-1)</f>
        <v>11.070497693516353</v>
      </c>
    </row>
    <row r="52" spans="1:9" ht="14.7" x14ac:dyDescent="0.6">
      <c r="A52" s="25" t="s">
        <v>50</v>
      </c>
      <c r="B52">
        <f>CHIINV(1-B50/2,B12-1)</f>
        <v>1.1454762260617699</v>
      </c>
    </row>
    <row r="53" spans="1:9" x14ac:dyDescent="0.4">
      <c r="A53" s="25" t="s">
        <v>105</v>
      </c>
      <c r="B53">
        <f>(B12-1)*B18^2/B47^2</f>
        <v>6.3020833333333348</v>
      </c>
    </row>
    <row r="54" spans="1:9" x14ac:dyDescent="0.4">
      <c r="A54" s="25" t="s">
        <v>140</v>
      </c>
    </row>
    <row r="55" spans="1:9" x14ac:dyDescent="0.4">
      <c r="A55" s="25" t="s">
        <v>141</v>
      </c>
    </row>
    <row r="57" spans="1:9" x14ac:dyDescent="0.4">
      <c r="A57" s="25" t="s">
        <v>116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Foglio1</vt:lpstr>
      <vt:lpstr>Foglio2</vt:lpstr>
      <vt:lpstr>Foglio3</vt:lpstr>
      <vt:lpstr>Foglio4</vt:lpstr>
      <vt:lpstr>Foglio5</vt:lpstr>
      <vt:lpstr>Foglio6</vt:lpstr>
      <vt:lpstr>Foglio1!Area_stampa</vt:lpstr>
      <vt:lpstr>Foglio3!Area_stampa</vt:lpstr>
      <vt:lpstr>Foglio4!Area_stampa</vt:lpstr>
      <vt:lpstr>Foglio6!Area_stampa</vt:lpstr>
    </vt:vector>
  </TitlesOfParts>
  <Company>Università di Macerata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Scaccia</dc:creator>
  <cp:lastModifiedBy>Luisa Scaccia</cp:lastModifiedBy>
  <cp:lastPrinted>2010-12-01T13:54:57Z</cp:lastPrinted>
  <dcterms:created xsi:type="dcterms:W3CDTF">2010-11-23T22:03:56Z</dcterms:created>
  <dcterms:modified xsi:type="dcterms:W3CDTF">2023-12-19T22:02:29Z</dcterms:modified>
</cp:coreProperties>
</file>