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628\"/>
    </mc:Choice>
  </mc:AlternateContent>
  <xr:revisionPtr revIDLastSave="0" documentId="13_ncr:1_{00A64D8F-BD16-44B7-B369-F7FCB14DC027}" xr6:coauthVersionLast="36" xr6:coauthVersionMax="36" xr10:uidLastSave="{00000000-0000-0000-0000-000000000000}"/>
  <bookViews>
    <workbookView xWindow="240" yWindow="36" windowWidth="15480" windowHeight="8952" activeTab="4" xr2:uid="{00000000-000D-0000-FFFF-FFFF00000000}"/>
  </bookViews>
  <sheets>
    <sheet name="Foglio1" sheetId="4" r:id="rId1"/>
    <sheet name="Foglio2" sheetId="8" r:id="rId2"/>
    <sheet name="Foglio3" sheetId="3" r:id="rId3"/>
    <sheet name="Foglio4" sheetId="5" r:id="rId4"/>
    <sheet name="Foglio5" sheetId="9" r:id="rId5"/>
    <sheet name="Foglio6" sheetId="7" r:id="rId6"/>
  </sheets>
  <definedNames>
    <definedName name="_xlnm.Print_Area" localSheetId="0">Foglio1!$A$1:$R$68</definedName>
    <definedName name="_xlnm.Print_Area" localSheetId="1">Foglio2!#REF!</definedName>
    <definedName name="_xlnm.Print_Area" localSheetId="2">Foglio3!$A$1:$R$66</definedName>
    <definedName name="_xlnm.Print_Area" localSheetId="3">Foglio4!$A$1:$V$55</definedName>
    <definedName name="_xlnm.Print_Area" localSheetId="4">Foglio5!#REF!</definedName>
    <definedName name="_xlnm.Print_Area" localSheetId="5">Foglio6!$A$1:$S$58</definedName>
  </definedNames>
  <calcPr calcId="191029"/>
</workbook>
</file>

<file path=xl/calcChain.xml><?xml version="1.0" encoding="utf-8"?>
<calcChain xmlns="http://schemas.openxmlformats.org/spreadsheetml/2006/main">
  <c r="B32" i="9" l="1"/>
  <c r="B16" i="3"/>
  <c r="B34" i="7"/>
  <c r="D18" i="7"/>
  <c r="D13" i="7"/>
  <c r="B13" i="7"/>
  <c r="B12" i="7"/>
  <c r="B24" i="9"/>
  <c r="B10" i="9"/>
  <c r="G29" i="5"/>
  <c r="C29" i="5"/>
  <c r="E29" i="5"/>
  <c r="B27" i="5"/>
  <c r="B22" i="5"/>
  <c r="B21" i="5"/>
  <c r="B20" i="5"/>
  <c r="D16" i="5"/>
  <c r="B16" i="5"/>
  <c r="E13" i="5"/>
  <c r="C13" i="5"/>
  <c r="B12" i="5"/>
  <c r="B21" i="3"/>
  <c r="H21" i="3" s="1"/>
  <c r="D21" i="3"/>
  <c r="B20" i="3"/>
  <c r="B14" i="3"/>
  <c r="C38" i="8"/>
  <c r="D35" i="8"/>
  <c r="D36" i="8"/>
  <c r="B36" i="8"/>
  <c r="C36" i="8"/>
  <c r="A36" i="8"/>
  <c r="D29" i="8"/>
  <c r="A33" i="8"/>
  <c r="A31" i="8"/>
  <c r="A32" i="8"/>
  <c r="A30" i="8"/>
  <c r="I23" i="8"/>
  <c r="E23" i="8"/>
  <c r="C23" i="8"/>
  <c r="D23" i="8"/>
  <c r="B23" i="8"/>
  <c r="I21" i="8"/>
  <c r="I22" i="8"/>
  <c r="I20" i="8"/>
  <c r="C18" i="8"/>
  <c r="D18" i="8"/>
  <c r="E18" i="8"/>
  <c r="B18" i="8"/>
  <c r="E16" i="8"/>
  <c r="E17" i="8"/>
  <c r="E15" i="8"/>
  <c r="E21" i="8"/>
  <c r="E22" i="8"/>
  <c r="E20" i="8"/>
  <c r="B21" i="8"/>
  <c r="C21" i="8"/>
  <c r="D21" i="8"/>
  <c r="B22" i="8"/>
  <c r="C22" i="8"/>
  <c r="D22" i="8"/>
  <c r="C20" i="8"/>
  <c r="D20" i="8"/>
  <c r="B20" i="8"/>
  <c r="D14" i="8"/>
  <c r="C32" i="4"/>
  <c r="C27" i="4"/>
  <c r="D27" i="4"/>
  <c r="E27" i="4"/>
  <c r="F27" i="4"/>
  <c r="B27" i="4"/>
  <c r="D19" i="4"/>
  <c r="D14" i="4"/>
  <c r="B14" i="4"/>
  <c r="B15" i="4" l="1"/>
  <c r="B16" i="4" l="1"/>
  <c r="B35" i="7"/>
  <c r="D37" i="7" s="1"/>
  <c r="B27" i="7"/>
  <c r="B17" i="7"/>
  <c r="C31" i="9"/>
  <c r="B23" i="9"/>
  <c r="D36" i="7" l="1"/>
  <c r="B17" i="4"/>
  <c r="B29" i="7"/>
  <c r="B24" i="7"/>
  <c r="B18" i="4" l="1"/>
  <c r="C17" i="4" s="1"/>
  <c r="E17" i="4" s="1"/>
  <c r="D19" i="7"/>
  <c r="C18" i="4" l="1"/>
  <c r="E18" i="4" s="1"/>
  <c r="C14" i="4"/>
  <c r="E14" i="4" s="1"/>
  <c r="C15" i="4"/>
  <c r="E15" i="4" s="1"/>
  <c r="C16" i="4"/>
  <c r="E16" i="4" s="1"/>
  <c r="H16" i="5"/>
  <c r="F16" i="5"/>
  <c r="D22" i="5" l="1"/>
  <c r="E19" i="4"/>
  <c r="B20" i="4" s="1"/>
  <c r="J16" i="5"/>
  <c r="L4" i="4" l="1"/>
  <c r="L5" i="4"/>
  <c r="B11" i="9"/>
  <c r="B15" i="9"/>
  <c r="D17" i="9" l="1"/>
  <c r="C29" i="9" s="1"/>
  <c r="D16" i="9"/>
</calcChain>
</file>

<file path=xl/sharedStrings.xml><?xml version="1.0" encoding="utf-8"?>
<sst xmlns="http://schemas.openxmlformats.org/spreadsheetml/2006/main" count="189" uniqueCount="135">
  <si>
    <t>a)</t>
  </si>
  <si>
    <t>b)</t>
  </si>
  <si>
    <t>c)</t>
  </si>
  <si>
    <t>) =</t>
  </si>
  <si>
    <t>n =</t>
  </si>
  <si>
    <t>xm =</t>
  </si>
  <si>
    <t>s =</t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</si>
  <si>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</si>
  <si>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</si>
  <si>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</si>
  <si>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</si>
  <si>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1-a =</t>
  </si>
  <si>
    <t>Statistica test =</t>
  </si>
  <si>
    <t>d)</t>
  </si>
  <si>
    <t>-</t>
  </si>
  <si>
    <t>=</t>
  </si>
  <si>
    <t>mu =</t>
  </si>
  <si>
    <t xml:space="preserve">sigma^2 = </t>
  </si>
  <si>
    <t>)=</t>
  </si>
  <si>
    <t>&lt; Z &lt;</t>
  </si>
  <si>
    <t>p =</t>
  </si>
  <si>
    <t>+</t>
  </si>
  <si>
    <t>si distribuisce come una variabile aleatoria normale</t>
  </si>
  <si>
    <t>P(A) =</t>
  </si>
  <si>
    <t>X è una binomiale di parametri</t>
  </si>
  <si>
    <t>grammi</t>
  </si>
  <si>
    <t>Ampiezza intervallo =</t>
  </si>
  <si>
    <t>Ampiezza desiderata =</t>
  </si>
  <si>
    <r>
      <t xml:space="preserve">H0: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</si>
  <si>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</si>
  <si>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t xml:space="preserve">H1: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</t>
    </r>
  </si>
  <si>
    <t>Non possiamo rifiutare l'ipotesi nulla.</t>
  </si>
  <si>
    <t>d) Quale deve essere la numerosità campionaria n se si vuole che l'ampiezza dell'intervallo</t>
  </si>
  <si>
    <r>
      <t>2z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*radq(xm(1-xm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/n) =</t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</si>
  <si>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</si>
  <si>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</si>
  <si>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</si>
  <si>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</si>
  <si>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>I dati riportano il numero di clienti di 5 filiali di banca in una grande città.</t>
  </si>
  <si>
    <t>Filiale</t>
  </si>
  <si>
    <t>A</t>
  </si>
  <si>
    <t>B</t>
  </si>
  <si>
    <t>C</t>
  </si>
  <si>
    <t>D</t>
  </si>
  <si>
    <t>E</t>
  </si>
  <si>
    <t>Numero di clienti</t>
  </si>
  <si>
    <t>a) Si calcoli un opportuno indice di concentrazione e si commenti il risultato.</t>
  </si>
  <si>
    <t>b) Si rappresenti la curva di Lorenz.</t>
  </si>
  <si>
    <t>c) A parità di numero totale di clienti, si spieghi che dati si sarebbero osservati nei due casi estremi di equidistribuzione e di massima concentrazione.</t>
  </si>
  <si>
    <t>Ai</t>
  </si>
  <si>
    <t>Qi</t>
  </si>
  <si>
    <t>Fi</t>
  </si>
  <si>
    <t>Fi-Qi</t>
  </si>
  <si>
    <t>d) Si spieghi che relazione ci sia tra le Fi e le Qi e perché.</t>
  </si>
  <si>
    <t>Indice di Gini =</t>
  </si>
  <si>
    <t>Esiste un moderato grado di concentrazione di clienti tra le diverse filiali</t>
  </si>
  <si>
    <t>Dati nel caso di equidistribuzione</t>
  </si>
  <si>
    <t>Dati nel caso di massima concentrazione</t>
  </si>
  <si>
    <t>d) Le Fi sono sempre non minori delle Qi. Infatti le Fi rappresentano la quota teorica di carattere posseduta dalle prime i unità più povere</t>
  </si>
  <si>
    <t>nel caso di equidistribuzione, mentre le Qi rappresentano la quota osservata nella realtà. Nella realtà la quantità di carattere posseduto dalle</t>
  </si>
  <si>
    <t>i unità più povere è sicuramente non superiore a quella che possiederebbero nel caso di equidistribuzione.</t>
  </si>
  <si>
    <t>Quartiere A</t>
  </si>
  <si>
    <t>Quartiere B</t>
  </si>
  <si>
    <t>Quartiere C</t>
  </si>
  <si>
    <t>30-50</t>
  </si>
  <si>
    <t>50-70</t>
  </si>
  <si>
    <t>70-100</t>
  </si>
  <si>
    <t>I dati riportano la distribuzione degli alloggi Airbnb, per fascia di prezzo per notte delle stanze singole,  in diversi quartieri di una determinata città.</t>
  </si>
  <si>
    <t>a) Si calcoli il prezzo medio per notte separatamente per i tre quartieri.</t>
  </si>
  <si>
    <t>b) Sulla base del punto a) si può concludere che ci sia dipendenza in media del prezzo dal quartiere? Motivare la risposta.</t>
  </si>
  <si>
    <t>c) Si calcoli un indice di dipendenza in media e si commenti il risultato</t>
  </si>
  <si>
    <t>d) Senza effettuare calcoli, se avessimo calcolato l'indice chi-quadro per questi dati, avremmo potuto ottenere un valore pari a zero?</t>
  </si>
  <si>
    <t>Motivare la risposta.</t>
  </si>
  <si>
    <t>xi*ni (A)</t>
  </si>
  <si>
    <t>xi*ni (B)</t>
  </si>
  <si>
    <t>xi*ni (C)</t>
  </si>
  <si>
    <t>prezzo medio (A)</t>
  </si>
  <si>
    <t>prezzo medio (B)</t>
  </si>
  <si>
    <t>prezzo medio (C)</t>
  </si>
  <si>
    <t>xi*ni (tot)</t>
  </si>
  <si>
    <t>prezzo medio (marginale)</t>
  </si>
  <si>
    <t>Le medie condizionate sono diverse tra loro quindi esiste dipendenza del prezzo medio dal quartiere</t>
  </si>
  <si>
    <t>Varianza delle medie condizionate</t>
  </si>
  <si>
    <t>Varianza totale</t>
  </si>
  <si>
    <t>Indice di dipendenza in media</t>
  </si>
  <si>
    <t>Il quartiere dove è collocato l'immobile spiega solo il 10% della variabilità totale di prezzo.</t>
  </si>
  <si>
    <t>d) Avendo osservato dipendenza in media, il valore dell'indice chi-quadro non potrà essere pari a zero perché la dipendenza in media</t>
  </si>
  <si>
    <t>implica la dipendenza statistica</t>
  </si>
  <si>
    <t>Il 90% degli studenti preparati superano un certo esame mentre solo il 5% di quelli non preparati riescono a superarlo.</t>
  </si>
  <si>
    <t>Inoltre il 75% degli studenti che si presentano all'esame sono in genere preparati.</t>
  </si>
  <si>
    <t>Calcolare la probabilità</t>
  </si>
  <si>
    <t>b) che uno studente che ha passato l'esame non lo avesse in realtà preparato</t>
  </si>
  <si>
    <t>a) che uno studente passi l'esame</t>
  </si>
  <si>
    <t>c) che estraendo 10 studenti a caso, almeno 9 passino l'esame.</t>
  </si>
  <si>
    <t>d) Il superamento dell'esame è indipendente dalla preparazione? Motivare la risposta.</t>
  </si>
  <si>
    <t>P(E|A) =</t>
  </si>
  <si>
    <r>
      <t>P(E|A</t>
    </r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</si>
  <si>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t>P(E) =</t>
  </si>
  <si>
    <r>
      <t>P(A</t>
    </r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>|E) =</t>
    </r>
  </si>
  <si>
    <r>
      <t>Non sono indipendenti perché P(E) è diverso da P(E|A) o da P(E|A</t>
    </r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>)</t>
    </r>
  </si>
  <si>
    <t>P(X&gt;8) =</t>
  </si>
  <si>
    <t>Il prezzo a notte di una singola in un albergo a tre stelle di una certa città</t>
  </si>
  <si>
    <t xml:space="preserve">di valore atteso 60 euro e deviazione standard pari a 15 euro. Determinare la probabilità che </t>
  </si>
  <si>
    <t>a) una stanza costi più di 80 euro;</t>
  </si>
  <si>
    <t>b) una stanza costi tra i 65 e i 75 euro;</t>
  </si>
  <si>
    <t>c) il prezzo per 5 notti sia maggiore di 350 euro;</t>
  </si>
  <si>
    <t>d) su 5 stanze scelte a caso, al massimo 1 costi più di 80 euro.</t>
  </si>
  <si>
    <t>Indichiamo con X la v.a. prezzo della stanza</t>
  </si>
  <si>
    <t>P(X&gt;80) =</t>
  </si>
  <si>
    <r>
      <t>P(Z</t>
    </r>
    <r>
      <rPr>
        <sz val="10"/>
        <rFont val="Symbol"/>
        <family val="1"/>
        <charset val="2"/>
      </rPr>
      <t>&gt;</t>
    </r>
  </si>
  <si>
    <t>P(65&lt;X&lt;75) =P(</t>
  </si>
  <si>
    <t>Y = {prezzo per 5 notti}</t>
  </si>
  <si>
    <t>P(Y&gt;350 =P(Z &gt;</t>
  </si>
  <si>
    <t>Indichiamo con Q la v.a. binomiale che conta il numero di stanze che costano più di 80 euro, sulle 5 considerate</t>
  </si>
  <si>
    <t>P(Q&lt;=1) =</t>
  </si>
  <si>
    <r>
      <t xml:space="preserve">Si vuole stimare la proporzione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di pezzi difettosi prodotti da un determinato processo produttivo.</t>
    </r>
  </si>
  <si>
    <t>a) si determini un intervallo di confidenza al 90% per la proporzione di pezzi difettosi nell'intero processo produttivo.</t>
  </si>
  <si>
    <t xml:space="preserve">A tal fine si estrae un campione di 360 pezzi. Di questi, 9 risultano difettosi. </t>
  </si>
  <si>
    <t xml:space="preserve">b) sulla base del punto a) e senza ulteriori calcoli, possiamo rifiutare (al livello del 5%) l'ipotesi nulla che la percentuale di pezzi difettosi sia pari all'1%, </t>
  </si>
  <si>
    <t>contro l'alternativa che sia diversa dall'1%? Si motivi adeguatamente la risposta.</t>
  </si>
  <si>
    <t>c) si verifichi l'ipotesi nulla che la proporzione di pezzi difettosi nel processo produttivo sia pari al 3% contro l'alternativa che sia minore, al livello di significatività del 5%.</t>
  </si>
  <si>
    <t>al punto a) sia pari a 0,02?</t>
  </si>
  <si>
    <t>I km percorsi giornalmente da un corriere nella sua ultima settimana lavorativa sono i seguenti</t>
  </si>
  <si>
    <t>a) Si trovi l'intervallo di confidenza per il numero medio di km percorsi giornalmente, al livello</t>
  </si>
  <si>
    <t>d) Si spieghi quali assunzioni sia necessario fare per rispondere alle domande precedenti.</t>
  </si>
  <si>
    <t>km</t>
  </si>
  <si>
    <t>di confidenza del 90%.</t>
  </si>
  <si>
    <t>b) Si verifichi l'ipotesi che il numero medio di km percorsi giornalmente sia pari a 50, contro l'alternativa che sia maggiore, al livello del 10%</t>
  </si>
  <si>
    <t>I dati contengono sufficiente evidenza per rifiutare l'ipotesi nulla</t>
  </si>
  <si>
    <t>c) Si calcoli l'intervallo di confidenza per la varianza nel numero di km percorsi, al livello del 95%.</t>
  </si>
  <si>
    <t xml:space="preserve">E' necessario assumere che i km percorsi giornalmente possano considerarsi distribuiti normalmente, </t>
  </si>
  <si>
    <t xml:space="preserve">che i km percorsi in un giorno siano indipendenti da quelli percorsi negli altri giorni, </t>
  </si>
  <si>
    <t>e che i km percorsi giornalmente abbiano ogni giorno la stessa distribuzione.</t>
  </si>
  <si>
    <t xml:space="preserve">b) Il valore 0,1 non è contenuto all'interno del precedente intervallo ma potrebbe essere contenuto in un intervallo più ampio, al livello del 95%. </t>
  </si>
  <si>
    <t>Non possiamo concludere nulla senza ulteriori calcoli.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</si>
</sst>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7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1"/>
      <charset val="2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0" fillId="0" borderId="0" xfId="0" quotePrefix="1"/>
    <xf numFmtId="0" fontId="5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7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 wrapText="1"/>
    </xf>
    <xf numFmtId="0" fontId="5" fillId="0" borderId="0" xfId="0" quotePrefix="1" applyFont="1"/>
    <xf numFmtId="0" fontId="5" fillId="0" borderId="0" xfId="0" applyFont="1" applyAlignment="1">
      <alignment horizontal="left"/>
    </xf>
    <xf numFmtId="0" fontId="3" fillId="0" borderId="0" xfId="0" quotePrefix="1" applyFont="1" applyBorder="1"/>
    <xf numFmtId="0" fontId="7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Fill="1" applyBorder="1"/>
    <xf numFmtId="165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quotePrefix="1" applyFont="1" applyBorder="1"/>
    <xf numFmtId="0" fontId="12" fillId="0" borderId="0" xfId="0" applyFont="1" applyBorder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quotePrefix="1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/>
    <xf numFmtId="0" fontId="3" fillId="0" borderId="0" xfId="0" applyFont="1" applyFill="1" applyBorder="1"/>
    <xf numFmtId="164" fontId="0" fillId="0" borderId="0" xfId="0" applyNumberFormat="1" applyBorder="1"/>
    <xf numFmtId="0" fontId="0" fillId="0" borderId="0" xfId="0" applyFont="1" applyFill="1" applyBorder="1" applyAlignment="1"/>
    <xf numFmtId="0" fontId="5" fillId="0" borderId="0" xfId="0" applyFont="1" applyBorder="1" applyAlignment="1">
      <alignment horizontal="right" vertical="top" wrapText="1"/>
    </xf>
    <xf numFmtId="166" fontId="0" fillId="0" borderId="0" xfId="0" applyNumberForma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/>
    <xf numFmtId="3" fontId="0" fillId="0" borderId="0" xfId="0" applyNumberFormat="1" applyBorder="1"/>
    <xf numFmtId="0" fontId="0" fillId="0" borderId="0" xfId="0" applyFont="1" applyFill="1" applyBorder="1"/>
    <xf numFmtId="2" fontId="5" fillId="0" borderId="0" xfId="0" applyNumberFormat="1" applyFont="1" applyBorder="1"/>
    <xf numFmtId="0" fontId="14" fillId="0" borderId="0" xfId="0" applyFont="1" applyBorder="1"/>
    <xf numFmtId="0" fontId="3" fillId="0" borderId="0" xfId="0" applyNumberFormat="1" applyFont="1"/>
    <xf numFmtId="0" fontId="3" fillId="0" borderId="0" xfId="0" applyNumberFormat="1" applyFont="1" applyAlignmen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7" fillId="0" borderId="0" xfId="0" applyFont="1" applyFill="1" applyBorder="1"/>
    <xf numFmtId="0" fontId="0" fillId="0" borderId="0" xfId="0" quotePrefix="1" applyBorder="1"/>
    <xf numFmtId="0" fontId="15" fillId="0" borderId="0" xfId="0" applyFont="1"/>
    <xf numFmtId="0" fontId="5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Foglio1!$D$13:$D$18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Foglio1!$C$13:$C$18</c:f>
              <c:numCache>
                <c:formatCode>General</c:formatCode>
                <c:ptCount val="6"/>
                <c:pt idx="0">
                  <c:v>0</c:v>
                </c:pt>
                <c:pt idx="1">
                  <c:v>0.11939163498098859</c:v>
                </c:pt>
                <c:pt idx="2">
                  <c:v>0.26248415716096324</c:v>
                </c:pt>
                <c:pt idx="3">
                  <c:v>0.43548795944233204</c:v>
                </c:pt>
                <c:pt idx="4">
                  <c:v>0.6333333333333333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39-4390-91F9-680B18BC998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739-4390-91F9-680B18BC9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111744"/>
        <c:axId val="2029683728"/>
      </c:scatterChart>
      <c:valAx>
        <c:axId val="2026111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9683728"/>
        <c:crosses val="autoZero"/>
        <c:crossBetween val="midCat"/>
      </c:valAx>
      <c:valAx>
        <c:axId val="20296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611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303530</xdr:colOff>
      <xdr:row>10</xdr:row>
      <xdr:rowOff>25400</xdr:rowOff>
    </xdr:from>
    <xdr:to>
      <xdr:col>13</xdr:col>
      <xdr:colOff>356870</xdr:colOff>
      <xdr:row>27</xdr:row>
      <xdr:rowOff>91440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824534C-6235-4117-8105-5CEAB17FA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opLeftCell="A2" zoomScale="150" zoomScaleNormal="150" workbookViewId="0">
      <selection activeCell="B21" sqref="B21"/>
    </sheetView>
  </sheetViews>
  <sheetFormatPr defaultRowHeight="12.3"/>
  <cols>
    <col min="1" max="1" width="16.21875" customWidth="1"/>
    <col min="2" max="2" width="8" customWidth="1"/>
    <col min="4" max="4" width="11.6640625" customWidth="1"/>
    <col min="5" max="5" width="15.6640625" customWidth="1"/>
    <col min="7" max="7" width="12.5546875" customWidth="1"/>
  </cols>
  <sheetData>
    <row r="1" spans="1:12">
      <c r="A1" s="3" t="s">
        <v>38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2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</row>
    <row r="4" spans="1:12">
      <c r="A4" s="3" t="s">
        <v>39</v>
      </c>
      <c r="B4" s="29" t="s">
        <v>40</v>
      </c>
      <c r="C4" s="29" t="s">
        <v>41</v>
      </c>
      <c r="D4" s="29" t="s">
        <v>42</v>
      </c>
      <c r="E4" s="29" t="s">
        <v>43</v>
      </c>
      <c r="F4" s="30" t="s">
        <v>44</v>
      </c>
      <c r="G4" s="30"/>
      <c r="H4" s="30"/>
      <c r="I4" s="30"/>
      <c r="J4" s="30"/>
      <c r="K4" s="31"/>
      <c r="L4" s="4">
        <f>SUM(B4:K4)</f>
        <v>0</v>
      </c>
    </row>
    <row r="5" spans="1:12">
      <c r="A5" s="3" t="s">
        <v>45</v>
      </c>
      <c r="B5" s="32">
        <v>1561</v>
      </c>
      <c r="C5" s="29">
        <v>2893</v>
      </c>
      <c r="D5" s="29">
        <v>1129</v>
      </c>
      <c r="E5" s="29">
        <v>942</v>
      </c>
      <c r="F5" s="30">
        <v>1365</v>
      </c>
      <c r="G5" s="30"/>
      <c r="H5" s="30"/>
      <c r="I5" s="31"/>
      <c r="J5" s="31"/>
      <c r="K5" s="31"/>
      <c r="L5" s="4">
        <f>SUM(B5:K5)</f>
        <v>7890</v>
      </c>
    </row>
    <row r="6" spans="1:12" ht="15">
      <c r="A6" s="33"/>
      <c r="B6" s="13"/>
      <c r="C6" s="14"/>
      <c r="D6" s="1"/>
      <c r="E6" s="1"/>
      <c r="F6" s="4"/>
      <c r="G6" s="4"/>
      <c r="H6" s="4"/>
      <c r="I6" s="4"/>
      <c r="J6" s="4"/>
      <c r="K6" s="4"/>
      <c r="L6" s="4"/>
    </row>
    <row r="7" spans="1:12">
      <c r="A7" s="34" t="s">
        <v>46</v>
      </c>
      <c r="B7" s="35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10" t="s">
        <v>47</v>
      </c>
      <c r="B8" s="4"/>
      <c r="C8" s="36"/>
      <c r="D8" s="36"/>
      <c r="E8" s="36"/>
      <c r="F8" s="36"/>
      <c r="G8" s="4"/>
      <c r="H8" s="4"/>
      <c r="I8" s="4"/>
      <c r="J8" s="4"/>
      <c r="K8" s="4"/>
      <c r="L8" s="4"/>
    </row>
    <row r="9" spans="1:12">
      <c r="A9" s="10" t="s">
        <v>48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37" t="s">
        <v>53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3" t="s">
        <v>45</v>
      </c>
      <c r="B12" s="4" t="s">
        <v>49</v>
      </c>
      <c r="C12" s="4" t="s">
        <v>50</v>
      </c>
      <c r="D12" s="4" t="s">
        <v>51</v>
      </c>
      <c r="E12" s="36" t="s">
        <v>52</v>
      </c>
      <c r="F12" s="4"/>
      <c r="G12" s="4"/>
      <c r="H12" s="4"/>
      <c r="I12" s="4"/>
      <c r="J12" s="4"/>
      <c r="K12" s="4"/>
      <c r="L12" s="4"/>
    </row>
    <row r="13" spans="1:12">
      <c r="C13">
        <v>0</v>
      </c>
      <c r="D13">
        <v>0</v>
      </c>
      <c r="F13" s="4"/>
      <c r="G13" s="4"/>
      <c r="H13" s="4"/>
      <c r="I13" s="4"/>
      <c r="J13" s="4"/>
      <c r="K13" s="4"/>
      <c r="L13" s="4"/>
    </row>
    <row r="14" spans="1:12">
      <c r="A14" s="29">
        <v>942</v>
      </c>
      <c r="B14" s="4">
        <f>A14</f>
        <v>942</v>
      </c>
      <c r="C14" s="4">
        <f>B14/B$18</f>
        <v>0.11939163498098859</v>
      </c>
      <c r="D14" s="4">
        <f>0.2</f>
        <v>0.2</v>
      </c>
      <c r="E14" s="4">
        <f>D14-C14</f>
        <v>8.0608365019011419E-2</v>
      </c>
      <c r="F14" s="4"/>
      <c r="G14" s="4"/>
      <c r="H14" s="4"/>
      <c r="I14" s="4"/>
      <c r="J14" s="4"/>
      <c r="K14" s="4"/>
      <c r="L14" s="4"/>
    </row>
    <row r="15" spans="1:12">
      <c r="A15" s="29">
        <v>1129</v>
      </c>
      <c r="B15" s="4">
        <f>B14+A15</f>
        <v>2071</v>
      </c>
      <c r="C15" s="4">
        <f>B15/B$18</f>
        <v>0.26248415716096324</v>
      </c>
      <c r="D15" s="4">
        <v>0.4</v>
      </c>
      <c r="E15" s="4">
        <f t="shared" ref="E15:E18" si="0">D15-C15</f>
        <v>0.13751584283903678</v>
      </c>
      <c r="F15" s="4"/>
      <c r="G15" s="4"/>
      <c r="H15" s="4"/>
      <c r="I15" s="4"/>
      <c r="J15" s="4"/>
      <c r="K15" s="4"/>
      <c r="L15" s="4"/>
    </row>
    <row r="16" spans="1:12">
      <c r="A16" s="30">
        <v>1365</v>
      </c>
      <c r="B16" s="4">
        <f t="shared" ref="B16:B18" si="1">B15+A16</f>
        <v>3436</v>
      </c>
      <c r="C16" s="4">
        <f>B16/B$18</f>
        <v>0.43548795944233204</v>
      </c>
      <c r="D16" s="4">
        <v>0.6</v>
      </c>
      <c r="E16" s="4">
        <f t="shared" si="0"/>
        <v>0.16451204055766794</v>
      </c>
      <c r="F16" s="4"/>
      <c r="G16" s="4"/>
      <c r="H16" s="4"/>
      <c r="I16" s="4"/>
      <c r="J16" s="4"/>
      <c r="K16" s="4"/>
      <c r="L16" s="4"/>
    </row>
    <row r="17" spans="1:12">
      <c r="A17" s="32">
        <v>1561</v>
      </c>
      <c r="B17" s="4">
        <f t="shared" si="1"/>
        <v>4997</v>
      </c>
      <c r="C17" s="4">
        <f>B17/B$18</f>
        <v>0.6333333333333333</v>
      </c>
      <c r="D17" s="4">
        <v>0.8</v>
      </c>
      <c r="E17" s="4">
        <f t="shared" si="0"/>
        <v>0.16666666666666674</v>
      </c>
      <c r="F17" s="4"/>
      <c r="G17" s="4"/>
      <c r="H17" s="4"/>
      <c r="I17" s="4"/>
      <c r="J17" s="4"/>
      <c r="K17" s="4"/>
      <c r="L17" s="4"/>
    </row>
    <row r="18" spans="1:12">
      <c r="A18" s="29">
        <v>2893</v>
      </c>
      <c r="B18" s="4">
        <f t="shared" si="1"/>
        <v>7890</v>
      </c>
      <c r="C18" s="4">
        <f>B18/B$18</f>
        <v>1</v>
      </c>
      <c r="D18" s="36">
        <v>1</v>
      </c>
      <c r="E18" s="4">
        <f t="shared" si="0"/>
        <v>0</v>
      </c>
      <c r="F18" s="4"/>
      <c r="G18" s="4"/>
      <c r="H18" s="4"/>
      <c r="I18" s="4"/>
      <c r="J18" s="4"/>
      <c r="K18" s="4"/>
      <c r="L18" s="4"/>
    </row>
    <row r="19" spans="1:12">
      <c r="A19" s="4"/>
      <c r="B19" s="4"/>
      <c r="C19" s="4"/>
      <c r="D19" s="36">
        <f>SUM(D14:D17)</f>
        <v>2</v>
      </c>
      <c r="E19" s="36">
        <f>SUM(E14:E17)</f>
        <v>0.54930291508238294</v>
      </c>
      <c r="F19" s="4"/>
      <c r="G19" s="4"/>
      <c r="H19" s="4"/>
      <c r="I19" s="4"/>
      <c r="J19" s="4"/>
      <c r="K19" s="4"/>
      <c r="L19" s="4"/>
    </row>
    <row r="20" spans="1:12">
      <c r="A20" s="4" t="s">
        <v>54</v>
      </c>
      <c r="B20" s="4">
        <f>E19/D19</f>
        <v>0.27465145754119147</v>
      </c>
      <c r="C20" s="4"/>
      <c r="D20" s="4" t="s">
        <v>55</v>
      </c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 t="s">
        <v>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 t="s">
        <v>56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60" t="s">
        <v>39</v>
      </c>
      <c r="B26" s="61" t="s">
        <v>40</v>
      </c>
      <c r="C26" s="61" t="s">
        <v>41</v>
      </c>
      <c r="D26" s="61" t="s">
        <v>42</v>
      </c>
      <c r="E26" s="61" t="s">
        <v>43</v>
      </c>
      <c r="F26" s="62" t="s">
        <v>44</v>
      </c>
      <c r="G26" s="38"/>
      <c r="H26" s="4"/>
      <c r="I26" s="4"/>
      <c r="J26" s="4"/>
      <c r="K26" s="4"/>
      <c r="L26" s="4"/>
    </row>
    <row r="27" spans="1:12">
      <c r="A27" s="60" t="s">
        <v>45</v>
      </c>
      <c r="B27" s="63">
        <f>$B18/5</f>
        <v>1578</v>
      </c>
      <c r="C27" s="63">
        <f t="shared" ref="C27:F27" si="2">$B18/5</f>
        <v>1578</v>
      </c>
      <c r="D27" s="63">
        <f t="shared" si="2"/>
        <v>1578</v>
      </c>
      <c r="E27" s="63">
        <f t="shared" si="2"/>
        <v>1578</v>
      </c>
      <c r="F27" s="63">
        <f t="shared" si="2"/>
        <v>1578</v>
      </c>
      <c r="G27" s="38"/>
      <c r="H27" s="4"/>
      <c r="I27" s="4"/>
      <c r="J27" s="4"/>
      <c r="K27" s="4"/>
      <c r="L27" s="4"/>
    </row>
    <row r="28" spans="1:12">
      <c r="A28" s="42"/>
      <c r="B28" s="15"/>
      <c r="C28" s="15"/>
      <c r="D28" s="15"/>
      <c r="E28" s="15"/>
      <c r="F28" s="15"/>
      <c r="G28" s="9"/>
      <c r="H28" s="15"/>
      <c r="I28" s="15"/>
      <c r="K28" s="15"/>
    </row>
    <row r="29" spans="1:12">
      <c r="A29" s="42" t="s">
        <v>57</v>
      </c>
      <c r="B29" s="15"/>
      <c r="C29" s="15"/>
      <c r="D29" s="15"/>
      <c r="E29" s="15"/>
      <c r="F29" s="15"/>
      <c r="G29" s="9"/>
      <c r="H29" s="15"/>
      <c r="I29" s="15"/>
      <c r="K29" s="15"/>
    </row>
    <row r="30" spans="1:12">
      <c r="A30" s="39"/>
      <c r="B30" s="15"/>
      <c r="C30" s="15"/>
      <c r="D30" s="15"/>
      <c r="E30" s="15"/>
      <c r="F30" s="15"/>
      <c r="G30" s="9"/>
      <c r="H30" s="15"/>
      <c r="I30" s="15"/>
      <c r="K30" s="15"/>
    </row>
    <row r="31" spans="1:12">
      <c r="A31" s="60" t="s">
        <v>39</v>
      </c>
      <c r="B31" s="61" t="s">
        <v>40</v>
      </c>
      <c r="C31" s="61" t="s">
        <v>41</v>
      </c>
      <c r="D31" s="61" t="s">
        <v>42</v>
      </c>
      <c r="E31" s="61" t="s">
        <v>43</v>
      </c>
      <c r="F31" s="62" t="s">
        <v>44</v>
      </c>
      <c r="G31" s="9"/>
      <c r="H31" s="15"/>
      <c r="I31" s="15"/>
      <c r="K31" s="15"/>
    </row>
    <row r="32" spans="1:12">
      <c r="A32" s="60" t="s">
        <v>45</v>
      </c>
      <c r="B32" s="63">
        <v>0</v>
      </c>
      <c r="C32" s="63">
        <f>B18</f>
        <v>7890</v>
      </c>
      <c r="D32" s="63">
        <v>0</v>
      </c>
      <c r="E32" s="63">
        <v>0</v>
      </c>
      <c r="F32" s="63">
        <v>0</v>
      </c>
      <c r="G32" s="9"/>
      <c r="H32" s="15"/>
      <c r="I32" s="15"/>
      <c r="K32" s="15"/>
    </row>
    <row r="33" spans="1:12">
      <c r="A33" s="40"/>
      <c r="B33" s="15"/>
      <c r="C33" s="23"/>
      <c r="D33" s="20"/>
      <c r="E33" s="38"/>
      <c r="F33" s="20"/>
      <c r="G33" s="38"/>
      <c r="H33" s="4"/>
      <c r="I33" s="4"/>
      <c r="J33" s="4"/>
      <c r="K33" s="4"/>
      <c r="L33" s="4"/>
    </row>
    <row r="34" spans="1:12">
      <c r="A34" s="42" t="s">
        <v>58</v>
      </c>
      <c r="B34" s="4"/>
      <c r="C34" s="4"/>
      <c r="D34" s="9"/>
      <c r="E34" s="4"/>
      <c r="F34" s="4"/>
      <c r="G34" s="4"/>
      <c r="H34" s="4"/>
      <c r="I34" s="4"/>
      <c r="J34" s="4"/>
      <c r="K34" s="4"/>
      <c r="L34" s="4"/>
    </row>
    <row r="35" spans="1:12">
      <c r="A35" s="42" t="s">
        <v>59</v>
      </c>
      <c r="B35" s="4"/>
      <c r="C35" s="4"/>
      <c r="D35" s="9"/>
      <c r="E35" s="4"/>
      <c r="F35" s="4"/>
      <c r="G35" s="4"/>
      <c r="H35" s="4"/>
      <c r="I35" s="4"/>
      <c r="J35" s="4"/>
      <c r="K35" s="4"/>
      <c r="L35" s="4"/>
    </row>
    <row r="36" spans="1:12">
      <c r="A36" s="9" t="s">
        <v>60</v>
      </c>
      <c r="B36" s="4"/>
      <c r="C36" s="4"/>
      <c r="D36" s="4"/>
      <c r="E36" s="6"/>
      <c r="F36" s="24"/>
      <c r="G36" s="16"/>
      <c r="H36" s="4"/>
      <c r="I36" s="4"/>
      <c r="J36" s="4"/>
      <c r="K36" s="4"/>
      <c r="L36" s="4"/>
    </row>
    <row r="37" spans="1:12">
      <c r="A37" s="36"/>
      <c r="B37" s="4"/>
      <c r="C37" s="4"/>
      <c r="D37" s="9"/>
      <c r="E37" s="4"/>
      <c r="F37" s="4"/>
      <c r="G37" s="4"/>
      <c r="H37" s="4"/>
      <c r="I37" s="4"/>
      <c r="J37" s="4"/>
      <c r="K37" s="4"/>
      <c r="L37" s="4"/>
    </row>
    <row r="38" spans="1:12">
      <c r="A38" s="4"/>
      <c r="B38" s="4"/>
      <c r="C38" s="4"/>
      <c r="D38" s="4"/>
      <c r="E38" s="41"/>
      <c r="F38" s="4"/>
      <c r="G38" s="4"/>
      <c r="H38" s="4"/>
      <c r="I38" s="4"/>
      <c r="J38" s="4"/>
      <c r="K38" s="4"/>
      <c r="L38" s="4"/>
    </row>
    <row r="39" spans="1:12">
      <c r="A39" s="20"/>
      <c r="B39" s="4"/>
      <c r="C39" s="4"/>
      <c r="D39" s="9"/>
      <c r="G39" s="4"/>
      <c r="H39" s="4"/>
      <c r="I39" s="4"/>
      <c r="J39" s="4"/>
      <c r="K39" s="4"/>
      <c r="L39" s="4"/>
    </row>
    <row r="40" spans="1:12">
      <c r="A40" s="4"/>
      <c r="B40" s="4"/>
      <c r="C40" s="4"/>
      <c r="D40" s="4"/>
      <c r="E40" s="6"/>
      <c r="F40" s="24"/>
      <c r="G40" s="16"/>
      <c r="H40" s="4"/>
      <c r="I40" s="4"/>
      <c r="J40" s="4"/>
      <c r="K40" s="4"/>
      <c r="L40" s="4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4"/>
      <c r="B42" s="4"/>
      <c r="C42" s="4"/>
      <c r="D42" s="4"/>
      <c r="E42" s="41"/>
      <c r="F42" s="4"/>
      <c r="G42" s="4"/>
      <c r="H42" s="4"/>
      <c r="I42" s="4"/>
      <c r="J42" s="4"/>
      <c r="K42" s="4"/>
      <c r="L42" s="4"/>
    </row>
    <row r="43" spans="1:1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>
      <c r="A47" s="4"/>
      <c r="B47" s="4"/>
      <c r="C47" s="4"/>
      <c r="D47" s="4"/>
      <c r="E47" s="6"/>
      <c r="F47" s="24"/>
      <c r="G47" s="16"/>
      <c r="H47" s="4"/>
      <c r="I47" s="4"/>
      <c r="J47" s="4"/>
      <c r="K47" s="4"/>
      <c r="L47" s="4"/>
    </row>
    <row r="48" spans="1:1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4"/>
      <c r="B49" s="4"/>
      <c r="C49" s="4"/>
      <c r="D49" s="4"/>
      <c r="E49" s="41"/>
      <c r="F49" s="4"/>
      <c r="G49" s="4"/>
      <c r="H49" s="4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>
      <c r="A51" s="4"/>
      <c r="B51" s="4"/>
      <c r="C51" s="4"/>
      <c r="D51" s="4"/>
      <c r="E51" s="6"/>
      <c r="F51" s="24"/>
      <c r="G51" s="16"/>
      <c r="H51" s="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sortState ref="A14:A18">
    <sortCondition ref="A13"/>
  </sortState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opLeftCell="A11" zoomScale="150" zoomScaleNormal="150" workbookViewId="0">
      <selection activeCell="E41" sqref="E41"/>
    </sheetView>
  </sheetViews>
  <sheetFormatPr defaultColWidth="9.109375" defaultRowHeight="12.3"/>
  <cols>
    <col min="1" max="1" width="17.88671875" style="4" customWidth="1"/>
    <col min="2" max="8" width="9.109375" style="4"/>
    <col min="9" max="9" width="12.6640625" style="4" bestFit="1" customWidth="1"/>
    <col min="10" max="256" width="9.109375" style="4"/>
    <col min="257" max="257" width="17.88671875" style="4" customWidth="1"/>
    <col min="258" max="264" width="9.109375" style="4"/>
    <col min="265" max="265" width="12.6640625" style="4" bestFit="1" customWidth="1"/>
    <col min="266" max="512" width="9.109375" style="4"/>
    <col min="513" max="513" width="17.88671875" style="4" customWidth="1"/>
    <col min="514" max="520" width="9.109375" style="4"/>
    <col min="521" max="521" width="12.6640625" style="4" bestFit="1" customWidth="1"/>
    <col min="522" max="768" width="9.109375" style="4"/>
    <col min="769" max="769" width="17.88671875" style="4" customWidth="1"/>
    <col min="770" max="776" width="9.109375" style="4"/>
    <col min="777" max="777" width="12.6640625" style="4" bestFit="1" customWidth="1"/>
    <col min="778" max="1024" width="9.109375" style="4"/>
    <col min="1025" max="1025" width="17.88671875" style="4" customWidth="1"/>
    <col min="1026" max="1032" width="9.109375" style="4"/>
    <col min="1033" max="1033" width="12.6640625" style="4" bestFit="1" customWidth="1"/>
    <col min="1034" max="1280" width="9.109375" style="4"/>
    <col min="1281" max="1281" width="17.88671875" style="4" customWidth="1"/>
    <col min="1282" max="1288" width="9.109375" style="4"/>
    <col min="1289" max="1289" width="12.6640625" style="4" bestFit="1" customWidth="1"/>
    <col min="1290" max="1536" width="9.109375" style="4"/>
    <col min="1537" max="1537" width="17.88671875" style="4" customWidth="1"/>
    <col min="1538" max="1544" width="9.109375" style="4"/>
    <col min="1545" max="1545" width="12.6640625" style="4" bestFit="1" customWidth="1"/>
    <col min="1546" max="1792" width="9.109375" style="4"/>
    <col min="1793" max="1793" width="17.88671875" style="4" customWidth="1"/>
    <col min="1794" max="1800" width="9.109375" style="4"/>
    <col min="1801" max="1801" width="12.6640625" style="4" bestFit="1" customWidth="1"/>
    <col min="1802" max="2048" width="9.109375" style="4"/>
    <col min="2049" max="2049" width="17.88671875" style="4" customWidth="1"/>
    <col min="2050" max="2056" width="9.109375" style="4"/>
    <col min="2057" max="2057" width="12.6640625" style="4" bestFit="1" customWidth="1"/>
    <col min="2058" max="2304" width="9.109375" style="4"/>
    <col min="2305" max="2305" width="17.88671875" style="4" customWidth="1"/>
    <col min="2306" max="2312" width="9.109375" style="4"/>
    <col min="2313" max="2313" width="12.6640625" style="4" bestFit="1" customWidth="1"/>
    <col min="2314" max="2560" width="9.109375" style="4"/>
    <col min="2561" max="2561" width="17.88671875" style="4" customWidth="1"/>
    <col min="2562" max="2568" width="9.109375" style="4"/>
    <col min="2569" max="2569" width="12.6640625" style="4" bestFit="1" customWidth="1"/>
    <col min="2570" max="2816" width="9.109375" style="4"/>
    <col min="2817" max="2817" width="17.88671875" style="4" customWidth="1"/>
    <col min="2818" max="2824" width="9.109375" style="4"/>
    <col min="2825" max="2825" width="12.6640625" style="4" bestFit="1" customWidth="1"/>
    <col min="2826" max="3072" width="9.109375" style="4"/>
    <col min="3073" max="3073" width="17.88671875" style="4" customWidth="1"/>
    <col min="3074" max="3080" width="9.109375" style="4"/>
    <col min="3081" max="3081" width="12.6640625" style="4" bestFit="1" customWidth="1"/>
    <col min="3082" max="3328" width="9.109375" style="4"/>
    <col min="3329" max="3329" width="17.88671875" style="4" customWidth="1"/>
    <col min="3330" max="3336" width="9.109375" style="4"/>
    <col min="3337" max="3337" width="12.6640625" style="4" bestFit="1" customWidth="1"/>
    <col min="3338" max="3584" width="9.109375" style="4"/>
    <col min="3585" max="3585" width="17.88671875" style="4" customWidth="1"/>
    <col min="3586" max="3592" width="9.109375" style="4"/>
    <col min="3593" max="3593" width="12.6640625" style="4" bestFit="1" customWidth="1"/>
    <col min="3594" max="3840" width="9.109375" style="4"/>
    <col min="3841" max="3841" width="17.88671875" style="4" customWidth="1"/>
    <col min="3842" max="3848" width="9.109375" style="4"/>
    <col min="3849" max="3849" width="12.6640625" style="4" bestFit="1" customWidth="1"/>
    <col min="3850" max="4096" width="9.109375" style="4"/>
    <col min="4097" max="4097" width="17.88671875" style="4" customWidth="1"/>
    <col min="4098" max="4104" width="9.109375" style="4"/>
    <col min="4105" max="4105" width="12.6640625" style="4" bestFit="1" customWidth="1"/>
    <col min="4106" max="4352" width="9.109375" style="4"/>
    <col min="4353" max="4353" width="17.88671875" style="4" customWidth="1"/>
    <col min="4354" max="4360" width="9.109375" style="4"/>
    <col min="4361" max="4361" width="12.6640625" style="4" bestFit="1" customWidth="1"/>
    <col min="4362" max="4608" width="9.109375" style="4"/>
    <col min="4609" max="4609" width="17.88671875" style="4" customWidth="1"/>
    <col min="4610" max="4616" width="9.109375" style="4"/>
    <col min="4617" max="4617" width="12.6640625" style="4" bestFit="1" customWidth="1"/>
    <col min="4618" max="4864" width="9.109375" style="4"/>
    <col min="4865" max="4865" width="17.88671875" style="4" customWidth="1"/>
    <col min="4866" max="4872" width="9.109375" style="4"/>
    <col min="4873" max="4873" width="12.6640625" style="4" bestFit="1" customWidth="1"/>
    <col min="4874" max="5120" width="9.109375" style="4"/>
    <col min="5121" max="5121" width="17.88671875" style="4" customWidth="1"/>
    <col min="5122" max="5128" width="9.109375" style="4"/>
    <col min="5129" max="5129" width="12.6640625" style="4" bestFit="1" customWidth="1"/>
    <col min="5130" max="5376" width="9.109375" style="4"/>
    <col min="5377" max="5377" width="17.88671875" style="4" customWidth="1"/>
    <col min="5378" max="5384" width="9.109375" style="4"/>
    <col min="5385" max="5385" width="12.6640625" style="4" bestFit="1" customWidth="1"/>
    <col min="5386" max="5632" width="9.109375" style="4"/>
    <col min="5633" max="5633" width="17.88671875" style="4" customWidth="1"/>
    <col min="5634" max="5640" width="9.109375" style="4"/>
    <col min="5641" max="5641" width="12.6640625" style="4" bestFit="1" customWidth="1"/>
    <col min="5642" max="5888" width="9.109375" style="4"/>
    <col min="5889" max="5889" width="17.88671875" style="4" customWidth="1"/>
    <col min="5890" max="5896" width="9.109375" style="4"/>
    <col min="5897" max="5897" width="12.6640625" style="4" bestFit="1" customWidth="1"/>
    <col min="5898" max="6144" width="9.109375" style="4"/>
    <col min="6145" max="6145" width="17.88671875" style="4" customWidth="1"/>
    <col min="6146" max="6152" width="9.109375" style="4"/>
    <col min="6153" max="6153" width="12.6640625" style="4" bestFit="1" customWidth="1"/>
    <col min="6154" max="6400" width="9.109375" style="4"/>
    <col min="6401" max="6401" width="17.88671875" style="4" customWidth="1"/>
    <col min="6402" max="6408" width="9.109375" style="4"/>
    <col min="6409" max="6409" width="12.6640625" style="4" bestFit="1" customWidth="1"/>
    <col min="6410" max="6656" width="9.109375" style="4"/>
    <col min="6657" max="6657" width="17.88671875" style="4" customWidth="1"/>
    <col min="6658" max="6664" width="9.109375" style="4"/>
    <col min="6665" max="6665" width="12.6640625" style="4" bestFit="1" customWidth="1"/>
    <col min="6666" max="6912" width="9.109375" style="4"/>
    <col min="6913" max="6913" width="17.88671875" style="4" customWidth="1"/>
    <col min="6914" max="6920" width="9.109375" style="4"/>
    <col min="6921" max="6921" width="12.6640625" style="4" bestFit="1" customWidth="1"/>
    <col min="6922" max="7168" width="9.109375" style="4"/>
    <col min="7169" max="7169" width="17.88671875" style="4" customWidth="1"/>
    <col min="7170" max="7176" width="9.109375" style="4"/>
    <col min="7177" max="7177" width="12.6640625" style="4" bestFit="1" customWidth="1"/>
    <col min="7178" max="7424" width="9.109375" style="4"/>
    <col min="7425" max="7425" width="17.88671875" style="4" customWidth="1"/>
    <col min="7426" max="7432" width="9.109375" style="4"/>
    <col min="7433" max="7433" width="12.6640625" style="4" bestFit="1" customWidth="1"/>
    <col min="7434" max="7680" width="9.109375" style="4"/>
    <col min="7681" max="7681" width="17.88671875" style="4" customWidth="1"/>
    <col min="7682" max="7688" width="9.109375" style="4"/>
    <col min="7689" max="7689" width="12.6640625" style="4" bestFit="1" customWidth="1"/>
    <col min="7690" max="7936" width="9.109375" style="4"/>
    <col min="7937" max="7937" width="17.88671875" style="4" customWidth="1"/>
    <col min="7938" max="7944" width="9.109375" style="4"/>
    <col min="7945" max="7945" width="12.6640625" style="4" bestFit="1" customWidth="1"/>
    <col min="7946" max="8192" width="9.109375" style="4"/>
    <col min="8193" max="8193" width="17.88671875" style="4" customWidth="1"/>
    <col min="8194" max="8200" width="9.109375" style="4"/>
    <col min="8201" max="8201" width="12.6640625" style="4" bestFit="1" customWidth="1"/>
    <col min="8202" max="8448" width="9.109375" style="4"/>
    <col min="8449" max="8449" width="17.88671875" style="4" customWidth="1"/>
    <col min="8450" max="8456" width="9.109375" style="4"/>
    <col min="8457" max="8457" width="12.6640625" style="4" bestFit="1" customWidth="1"/>
    <col min="8458" max="8704" width="9.109375" style="4"/>
    <col min="8705" max="8705" width="17.88671875" style="4" customWidth="1"/>
    <col min="8706" max="8712" width="9.109375" style="4"/>
    <col min="8713" max="8713" width="12.6640625" style="4" bestFit="1" customWidth="1"/>
    <col min="8714" max="8960" width="9.109375" style="4"/>
    <col min="8961" max="8961" width="17.88671875" style="4" customWidth="1"/>
    <col min="8962" max="8968" width="9.109375" style="4"/>
    <col min="8969" max="8969" width="12.6640625" style="4" bestFit="1" customWidth="1"/>
    <col min="8970" max="9216" width="9.109375" style="4"/>
    <col min="9217" max="9217" width="17.88671875" style="4" customWidth="1"/>
    <col min="9218" max="9224" width="9.109375" style="4"/>
    <col min="9225" max="9225" width="12.6640625" style="4" bestFit="1" customWidth="1"/>
    <col min="9226" max="9472" width="9.109375" style="4"/>
    <col min="9473" max="9473" width="17.88671875" style="4" customWidth="1"/>
    <col min="9474" max="9480" width="9.109375" style="4"/>
    <col min="9481" max="9481" width="12.6640625" style="4" bestFit="1" customWidth="1"/>
    <col min="9482" max="9728" width="9.109375" style="4"/>
    <col min="9729" max="9729" width="17.88671875" style="4" customWidth="1"/>
    <col min="9730" max="9736" width="9.109375" style="4"/>
    <col min="9737" max="9737" width="12.6640625" style="4" bestFit="1" customWidth="1"/>
    <col min="9738" max="9984" width="9.109375" style="4"/>
    <col min="9985" max="9985" width="17.88671875" style="4" customWidth="1"/>
    <col min="9986" max="9992" width="9.109375" style="4"/>
    <col min="9993" max="9993" width="12.6640625" style="4" bestFit="1" customWidth="1"/>
    <col min="9994" max="10240" width="9.109375" style="4"/>
    <col min="10241" max="10241" width="17.88671875" style="4" customWidth="1"/>
    <col min="10242" max="10248" width="9.109375" style="4"/>
    <col min="10249" max="10249" width="12.6640625" style="4" bestFit="1" customWidth="1"/>
    <col min="10250" max="10496" width="9.109375" style="4"/>
    <col min="10497" max="10497" width="17.88671875" style="4" customWidth="1"/>
    <col min="10498" max="10504" width="9.109375" style="4"/>
    <col min="10505" max="10505" width="12.6640625" style="4" bestFit="1" customWidth="1"/>
    <col min="10506" max="10752" width="9.109375" style="4"/>
    <col min="10753" max="10753" width="17.88671875" style="4" customWidth="1"/>
    <col min="10754" max="10760" width="9.109375" style="4"/>
    <col min="10761" max="10761" width="12.6640625" style="4" bestFit="1" customWidth="1"/>
    <col min="10762" max="11008" width="9.109375" style="4"/>
    <col min="11009" max="11009" width="17.88671875" style="4" customWidth="1"/>
    <col min="11010" max="11016" width="9.109375" style="4"/>
    <col min="11017" max="11017" width="12.6640625" style="4" bestFit="1" customWidth="1"/>
    <col min="11018" max="11264" width="9.109375" style="4"/>
    <col min="11265" max="11265" width="17.88671875" style="4" customWidth="1"/>
    <col min="11266" max="11272" width="9.109375" style="4"/>
    <col min="11273" max="11273" width="12.6640625" style="4" bestFit="1" customWidth="1"/>
    <col min="11274" max="11520" width="9.109375" style="4"/>
    <col min="11521" max="11521" width="17.88671875" style="4" customWidth="1"/>
    <col min="11522" max="11528" width="9.109375" style="4"/>
    <col min="11529" max="11529" width="12.6640625" style="4" bestFit="1" customWidth="1"/>
    <col min="11530" max="11776" width="9.109375" style="4"/>
    <col min="11777" max="11777" width="17.88671875" style="4" customWidth="1"/>
    <col min="11778" max="11784" width="9.109375" style="4"/>
    <col min="11785" max="11785" width="12.6640625" style="4" bestFit="1" customWidth="1"/>
    <col min="11786" max="12032" width="9.109375" style="4"/>
    <col min="12033" max="12033" width="17.88671875" style="4" customWidth="1"/>
    <col min="12034" max="12040" width="9.109375" style="4"/>
    <col min="12041" max="12041" width="12.6640625" style="4" bestFit="1" customWidth="1"/>
    <col min="12042" max="12288" width="9.109375" style="4"/>
    <col min="12289" max="12289" width="17.88671875" style="4" customWidth="1"/>
    <col min="12290" max="12296" width="9.109375" style="4"/>
    <col min="12297" max="12297" width="12.6640625" style="4" bestFit="1" customWidth="1"/>
    <col min="12298" max="12544" width="9.109375" style="4"/>
    <col min="12545" max="12545" width="17.88671875" style="4" customWidth="1"/>
    <col min="12546" max="12552" width="9.109375" style="4"/>
    <col min="12553" max="12553" width="12.6640625" style="4" bestFit="1" customWidth="1"/>
    <col min="12554" max="12800" width="9.109375" style="4"/>
    <col min="12801" max="12801" width="17.88671875" style="4" customWidth="1"/>
    <col min="12802" max="12808" width="9.109375" style="4"/>
    <col min="12809" max="12809" width="12.6640625" style="4" bestFit="1" customWidth="1"/>
    <col min="12810" max="13056" width="9.109375" style="4"/>
    <col min="13057" max="13057" width="17.88671875" style="4" customWidth="1"/>
    <col min="13058" max="13064" width="9.109375" style="4"/>
    <col min="13065" max="13065" width="12.6640625" style="4" bestFit="1" customWidth="1"/>
    <col min="13066" max="13312" width="9.109375" style="4"/>
    <col min="13313" max="13313" width="17.88671875" style="4" customWidth="1"/>
    <col min="13314" max="13320" width="9.109375" style="4"/>
    <col min="13321" max="13321" width="12.6640625" style="4" bestFit="1" customWidth="1"/>
    <col min="13322" max="13568" width="9.109375" style="4"/>
    <col min="13569" max="13569" width="17.88671875" style="4" customWidth="1"/>
    <col min="13570" max="13576" width="9.109375" style="4"/>
    <col min="13577" max="13577" width="12.6640625" style="4" bestFit="1" customWidth="1"/>
    <col min="13578" max="13824" width="9.109375" style="4"/>
    <col min="13825" max="13825" width="17.88671875" style="4" customWidth="1"/>
    <col min="13826" max="13832" width="9.109375" style="4"/>
    <col min="13833" max="13833" width="12.6640625" style="4" bestFit="1" customWidth="1"/>
    <col min="13834" max="14080" width="9.109375" style="4"/>
    <col min="14081" max="14081" width="17.88671875" style="4" customWidth="1"/>
    <col min="14082" max="14088" width="9.109375" style="4"/>
    <col min="14089" max="14089" width="12.6640625" style="4" bestFit="1" customWidth="1"/>
    <col min="14090" max="14336" width="9.109375" style="4"/>
    <col min="14337" max="14337" width="17.88671875" style="4" customWidth="1"/>
    <col min="14338" max="14344" width="9.109375" style="4"/>
    <col min="14345" max="14345" width="12.6640625" style="4" bestFit="1" customWidth="1"/>
    <col min="14346" max="14592" width="9.109375" style="4"/>
    <col min="14593" max="14593" width="17.88671875" style="4" customWidth="1"/>
    <col min="14594" max="14600" width="9.109375" style="4"/>
    <col min="14601" max="14601" width="12.6640625" style="4" bestFit="1" customWidth="1"/>
    <col min="14602" max="14848" width="9.109375" style="4"/>
    <col min="14849" max="14849" width="17.88671875" style="4" customWidth="1"/>
    <col min="14850" max="14856" width="9.109375" style="4"/>
    <col min="14857" max="14857" width="12.6640625" style="4" bestFit="1" customWidth="1"/>
    <col min="14858" max="15104" width="9.109375" style="4"/>
    <col min="15105" max="15105" width="17.88671875" style="4" customWidth="1"/>
    <col min="15106" max="15112" width="9.109375" style="4"/>
    <col min="15113" max="15113" width="12.6640625" style="4" bestFit="1" customWidth="1"/>
    <col min="15114" max="15360" width="9.109375" style="4"/>
    <col min="15361" max="15361" width="17.88671875" style="4" customWidth="1"/>
    <col min="15362" max="15368" width="9.109375" style="4"/>
    <col min="15369" max="15369" width="12.6640625" style="4" bestFit="1" customWidth="1"/>
    <col min="15370" max="15616" width="9.109375" style="4"/>
    <col min="15617" max="15617" width="17.88671875" style="4" customWidth="1"/>
    <col min="15618" max="15624" width="9.109375" style="4"/>
    <col min="15625" max="15625" width="12.6640625" style="4" bestFit="1" customWidth="1"/>
    <col min="15626" max="15872" width="9.109375" style="4"/>
    <col min="15873" max="15873" width="17.88671875" style="4" customWidth="1"/>
    <col min="15874" max="15880" width="9.109375" style="4"/>
    <col min="15881" max="15881" width="12.6640625" style="4" bestFit="1" customWidth="1"/>
    <col min="15882" max="16128" width="9.109375" style="4"/>
    <col min="16129" max="16129" width="17.88671875" style="4" customWidth="1"/>
    <col min="16130" max="16136" width="9.109375" style="4"/>
    <col min="16137" max="16137" width="12.6640625" style="4" bestFit="1" customWidth="1"/>
    <col min="16138" max="16384" width="9.109375" style="4"/>
  </cols>
  <sheetData>
    <row r="1" spans="1:9">
      <c r="A1" s="10" t="s">
        <v>67</v>
      </c>
      <c r="B1" s="10"/>
      <c r="C1" s="10"/>
      <c r="D1" s="10"/>
      <c r="E1" s="10"/>
      <c r="F1" s="10"/>
    </row>
    <row r="2" spans="1:9">
      <c r="A2" s="10"/>
      <c r="B2" s="10"/>
      <c r="C2" s="10"/>
      <c r="D2" s="10"/>
      <c r="E2" s="10"/>
      <c r="F2" s="10"/>
    </row>
    <row r="3" spans="1:9">
      <c r="A3" s="10"/>
      <c r="B3" s="10" t="s">
        <v>64</v>
      </c>
      <c r="C3" s="10" t="s">
        <v>65</v>
      </c>
      <c r="D3" s="10" t="s">
        <v>66</v>
      </c>
      <c r="E3" s="10"/>
      <c r="F3" s="10"/>
    </row>
    <row r="4" spans="1:9">
      <c r="A4" s="10" t="s">
        <v>61</v>
      </c>
      <c r="B4" s="10">
        <v>21</v>
      </c>
      <c r="C4" s="10">
        <v>75</v>
      </c>
      <c r="D4" s="10">
        <v>36</v>
      </c>
      <c r="E4" s="10"/>
      <c r="F4" s="10"/>
    </row>
    <row r="5" spans="1:9">
      <c r="A5" s="10" t="s">
        <v>62</v>
      </c>
      <c r="B5" s="10">
        <v>44</v>
      </c>
      <c r="C5" s="10">
        <v>82</v>
      </c>
      <c r="D5" s="10">
        <v>15</v>
      </c>
      <c r="E5" s="10"/>
      <c r="F5" s="10"/>
    </row>
    <row r="6" spans="1:9">
      <c r="A6" s="26" t="s">
        <v>63</v>
      </c>
      <c r="B6" s="10">
        <v>11</v>
      </c>
      <c r="C6" s="10">
        <v>68</v>
      </c>
      <c r="D6" s="10">
        <v>47</v>
      </c>
      <c r="E6" s="10"/>
      <c r="F6" s="10"/>
    </row>
    <row r="7" spans="1:9">
      <c r="A7" s="10"/>
      <c r="B7" s="10"/>
      <c r="C7" s="10"/>
      <c r="D7" s="10"/>
      <c r="E7" s="10"/>
      <c r="F7" s="10"/>
    </row>
    <row r="8" spans="1:9">
      <c r="A8" s="10" t="s">
        <v>68</v>
      </c>
      <c r="B8" s="10"/>
      <c r="C8" s="10"/>
      <c r="D8" s="10"/>
      <c r="E8" s="10"/>
      <c r="F8" s="10"/>
    </row>
    <row r="9" spans="1:9">
      <c r="A9" s="10" t="s">
        <v>69</v>
      </c>
      <c r="B9" s="10"/>
      <c r="C9" s="10"/>
      <c r="D9" s="10"/>
      <c r="E9" s="10"/>
      <c r="F9" s="10"/>
    </row>
    <row r="10" spans="1:9">
      <c r="A10" s="37" t="s">
        <v>70</v>
      </c>
      <c r="B10" s="10"/>
      <c r="C10" s="10"/>
      <c r="D10" s="10"/>
      <c r="E10" s="10"/>
      <c r="F10" s="10"/>
    </row>
    <row r="11" spans="1:9">
      <c r="A11" s="37" t="s">
        <v>71</v>
      </c>
      <c r="B11" s="10"/>
      <c r="C11" s="10"/>
      <c r="D11" s="10"/>
      <c r="E11" s="10"/>
      <c r="F11" s="10"/>
    </row>
    <row r="12" spans="1:9">
      <c r="A12" s="37" t="s">
        <v>72</v>
      </c>
      <c r="F12" s="10"/>
    </row>
    <row r="13" spans="1:9">
      <c r="A13" s="37"/>
      <c r="F13" s="10"/>
    </row>
    <row r="14" spans="1:9">
      <c r="A14" s="9"/>
      <c r="B14" s="9">
        <v>40</v>
      </c>
      <c r="C14" s="9">
        <v>60</v>
      </c>
      <c r="D14" s="9">
        <f>170/2</f>
        <v>85</v>
      </c>
      <c r="F14" s="10"/>
    </row>
    <row r="15" spans="1:9">
      <c r="A15" s="9" t="s">
        <v>61</v>
      </c>
      <c r="B15" s="9">
        <v>21</v>
      </c>
      <c r="C15" s="9">
        <v>75</v>
      </c>
      <c r="D15" s="9">
        <v>36</v>
      </c>
      <c r="E15" s="4">
        <f>SUM(B15:D15)</f>
        <v>132</v>
      </c>
      <c r="F15" s="10"/>
    </row>
    <row r="16" spans="1:9">
      <c r="A16" s="9" t="s">
        <v>62</v>
      </c>
      <c r="B16" s="9">
        <v>44</v>
      </c>
      <c r="C16" s="9">
        <v>82</v>
      </c>
      <c r="D16" s="9">
        <v>15</v>
      </c>
      <c r="E16" s="4">
        <f t="shared" ref="E16:E17" si="0">SUM(B16:D16)</f>
        <v>141</v>
      </c>
      <c r="F16" s="25"/>
      <c r="G16" s="43"/>
      <c r="H16" s="43"/>
      <c r="I16" s="43"/>
    </row>
    <row r="17" spans="1:9">
      <c r="A17" s="44" t="s">
        <v>63</v>
      </c>
      <c r="B17" s="9">
        <v>11</v>
      </c>
      <c r="C17" s="9">
        <v>68</v>
      </c>
      <c r="D17" s="9">
        <v>47</v>
      </c>
      <c r="E17" s="4">
        <f t="shared" si="0"/>
        <v>126</v>
      </c>
      <c r="F17" s="9"/>
      <c r="H17" s="9"/>
      <c r="I17" s="45"/>
    </row>
    <row r="18" spans="1:9">
      <c r="A18" s="44"/>
      <c r="B18" s="44">
        <f>SUM(B15:B17)</f>
        <v>76</v>
      </c>
      <c r="C18" s="44">
        <f t="shared" ref="C18:E18" si="1">SUM(C15:C17)</f>
        <v>225</v>
      </c>
      <c r="D18" s="44">
        <f t="shared" si="1"/>
        <v>98</v>
      </c>
      <c r="E18" s="44">
        <f t="shared" si="1"/>
        <v>399</v>
      </c>
      <c r="F18" s="9"/>
      <c r="I18" s="45"/>
    </row>
    <row r="19" spans="1:9">
      <c r="A19" s="42" t="s">
        <v>0</v>
      </c>
      <c r="B19" s="44"/>
      <c r="F19" s="9"/>
      <c r="I19" s="45"/>
    </row>
    <row r="20" spans="1:9">
      <c r="A20" s="42" t="s">
        <v>73</v>
      </c>
      <c r="B20" s="44">
        <f>B$14*B15</f>
        <v>840</v>
      </c>
      <c r="C20" s="44">
        <f t="shared" ref="C20:D20" si="2">C$14*C15</f>
        <v>4500</v>
      </c>
      <c r="D20" s="44">
        <f t="shared" si="2"/>
        <v>3060</v>
      </c>
      <c r="E20" s="4">
        <f>SUM(B20:D20)</f>
        <v>8400</v>
      </c>
      <c r="F20" s="9"/>
      <c r="G20" s="9" t="s">
        <v>76</v>
      </c>
      <c r="I20" s="65">
        <f>E20/E15</f>
        <v>63.636363636363633</v>
      </c>
    </row>
    <row r="21" spans="1:9">
      <c r="A21" s="42" t="s">
        <v>74</v>
      </c>
      <c r="B21" s="44">
        <f t="shared" ref="B21:D21" si="3">B$14*B16</f>
        <v>1760</v>
      </c>
      <c r="C21" s="44">
        <f t="shared" si="3"/>
        <v>4920</v>
      </c>
      <c r="D21" s="44">
        <f t="shared" si="3"/>
        <v>1275</v>
      </c>
      <c r="E21" s="4">
        <f t="shared" ref="E21:E23" si="4">SUM(B21:D21)</f>
        <v>7955</v>
      </c>
      <c r="F21" s="9"/>
      <c r="G21" s="9" t="s">
        <v>77</v>
      </c>
      <c r="I21" s="65">
        <f t="shared" ref="I21:I23" si="5">E21/E16</f>
        <v>56.418439716312058</v>
      </c>
    </row>
    <row r="22" spans="1:9">
      <c r="A22" s="42" t="s">
        <v>75</v>
      </c>
      <c r="B22" s="44">
        <f t="shared" ref="B22:E23" si="6">B$14*B17</f>
        <v>440</v>
      </c>
      <c r="C22" s="44">
        <f t="shared" si="6"/>
        <v>4080</v>
      </c>
      <c r="D22" s="44">
        <f t="shared" si="6"/>
        <v>3995</v>
      </c>
      <c r="E22" s="4">
        <f t="shared" si="4"/>
        <v>8515</v>
      </c>
      <c r="F22" s="9"/>
      <c r="G22" s="9" t="s">
        <v>78</v>
      </c>
      <c r="I22" s="65">
        <f t="shared" si="5"/>
        <v>67.579365079365076</v>
      </c>
    </row>
    <row r="23" spans="1:9">
      <c r="A23" s="42" t="s">
        <v>79</v>
      </c>
      <c r="B23" s="44">
        <f t="shared" si="6"/>
        <v>3040</v>
      </c>
      <c r="C23" s="44">
        <f t="shared" si="6"/>
        <v>13500</v>
      </c>
      <c r="D23" s="44">
        <f t="shared" si="6"/>
        <v>8330</v>
      </c>
      <c r="E23" s="4">
        <f t="shared" si="4"/>
        <v>24870</v>
      </c>
      <c r="F23" s="9"/>
      <c r="G23" s="20" t="s">
        <v>80</v>
      </c>
      <c r="I23" s="65">
        <f t="shared" si="5"/>
        <v>62.330827067669176</v>
      </c>
    </row>
    <row r="24" spans="1:9">
      <c r="A24" s="46"/>
      <c r="F24" s="10"/>
      <c r="I24" s="65"/>
    </row>
    <row r="25" spans="1:9">
      <c r="A25" s="46" t="s">
        <v>1</v>
      </c>
      <c r="F25" s="10"/>
    </row>
    <row r="26" spans="1:9">
      <c r="A26" s="46" t="s">
        <v>81</v>
      </c>
      <c r="F26" s="10"/>
    </row>
    <row r="27" spans="1:9">
      <c r="F27" s="10"/>
    </row>
    <row r="28" spans="1:9">
      <c r="A28" s="46" t="s">
        <v>2</v>
      </c>
      <c r="F28" s="10"/>
    </row>
    <row r="29" spans="1:9">
      <c r="A29" s="46" t="s">
        <v>82</v>
      </c>
      <c r="D29" s="4">
        <f>A33/E18</f>
        <v>21.615957309719978</v>
      </c>
      <c r="F29" s="10"/>
    </row>
    <row r="30" spans="1:9">
      <c r="A30" s="20">
        <f>(I20-I$23)^2*E15</f>
        <v>224.98419665020151</v>
      </c>
      <c r="F30" s="47"/>
    </row>
    <row r="31" spans="1:9">
      <c r="A31" s="20">
        <f t="shared" ref="A31:A33" si="7">(I21-I$23)^2*E16</f>
        <v>4928.841711140758</v>
      </c>
      <c r="F31" s="10"/>
    </row>
    <row r="32" spans="1:9">
      <c r="A32" s="20">
        <f t="shared" si="7"/>
        <v>3470.9410587873099</v>
      </c>
      <c r="F32" s="10"/>
    </row>
    <row r="33" spans="1:8">
      <c r="A33" s="20">
        <f>SUM(A30:A32)</f>
        <v>8624.7669665782705</v>
      </c>
      <c r="F33" s="10"/>
    </row>
    <row r="34" spans="1:8">
      <c r="F34" s="10"/>
    </row>
    <row r="35" spans="1:8" ht="15">
      <c r="A35" s="48" t="s">
        <v>83</v>
      </c>
      <c r="D35" s="4">
        <f>D36/E18</f>
        <v>224.26649330092147</v>
      </c>
      <c r="G35" s="2"/>
      <c r="H35" s="2"/>
    </row>
    <row r="36" spans="1:8">
      <c r="A36" s="4">
        <f>(B14-$I23)^2*B18</f>
        <v>37898.60365198712</v>
      </c>
      <c r="B36" s="4">
        <f t="shared" ref="B36:C36" si="8">(C14-$I23)^2*C18</f>
        <v>1222.3698343603405</v>
      </c>
      <c r="C36" s="4">
        <f t="shared" si="8"/>
        <v>50361.357340720206</v>
      </c>
      <c r="D36" s="4">
        <f>SUM(A36:C36)</f>
        <v>89482.330827067664</v>
      </c>
    </row>
    <row r="37" spans="1:8" ht="15">
      <c r="G37" s="2"/>
      <c r="H37" s="2"/>
    </row>
    <row r="38" spans="1:8">
      <c r="A38" s="9" t="s">
        <v>84</v>
      </c>
      <c r="C38" s="4">
        <f>D29/D35</f>
        <v>9.6385139802028383E-2</v>
      </c>
      <c r="E38" s="9" t="s">
        <v>85</v>
      </c>
    </row>
    <row r="39" spans="1:8">
      <c r="A39" s="9"/>
      <c r="B39" s="9"/>
      <c r="C39" s="59"/>
      <c r="D39" s="59"/>
      <c r="E39" s="59"/>
    </row>
    <row r="40" spans="1:8">
      <c r="A40" s="9" t="s">
        <v>86</v>
      </c>
      <c r="B40" s="9"/>
      <c r="C40" s="9"/>
      <c r="D40" s="9"/>
      <c r="E40" s="9"/>
    </row>
    <row r="41" spans="1:8" ht="12.75" customHeight="1">
      <c r="A41" s="64" t="s">
        <v>87</v>
      </c>
      <c r="B41" s="9"/>
      <c r="C41" s="9"/>
      <c r="D41" s="9"/>
      <c r="E41" s="9"/>
    </row>
    <row r="42" spans="1:8">
      <c r="A42" s="64"/>
      <c r="B42" s="9"/>
      <c r="C42" s="9"/>
      <c r="D42" s="9"/>
      <c r="E42" s="9"/>
    </row>
    <row r="43" spans="1:8">
      <c r="A43" s="9"/>
    </row>
    <row r="44" spans="1:8">
      <c r="A44" s="9"/>
    </row>
    <row r="49" spans="1:5">
      <c r="A49" s="9"/>
      <c r="B49" s="9"/>
      <c r="C49" s="59"/>
      <c r="D49" s="59"/>
      <c r="E49" s="59"/>
    </row>
    <row r="50" spans="1:5">
      <c r="A50" s="9"/>
      <c r="B50" s="9"/>
      <c r="C50" s="9"/>
      <c r="D50" s="9"/>
      <c r="E50" s="9"/>
    </row>
    <row r="51" spans="1:5" ht="12.75" customHeight="1">
      <c r="A51" s="58"/>
      <c r="B51" s="9"/>
      <c r="C51" s="9"/>
      <c r="D51" s="9"/>
      <c r="E51" s="9"/>
    </row>
    <row r="52" spans="1:5">
      <c r="A52" s="58"/>
      <c r="B52" s="9"/>
      <c r="C52" s="9"/>
      <c r="D52" s="9"/>
      <c r="E52" s="9"/>
    </row>
    <row r="53" spans="1:5">
      <c r="A53" s="9"/>
    </row>
  </sheetData>
  <mergeCells count="3">
    <mergeCell ref="C49:E49"/>
    <mergeCell ref="A51:A52"/>
    <mergeCell ref="C39:E3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opLeftCell="A8" zoomScale="150" zoomScaleNormal="150" workbookViewId="0">
      <selection activeCell="B27" sqref="B27"/>
    </sheetView>
  </sheetViews>
  <sheetFormatPr defaultColWidth="9.109375" defaultRowHeight="12.3"/>
  <cols>
    <col min="1" max="1" width="27.33203125" style="4" customWidth="1"/>
    <col min="2" max="2" width="6.109375" style="4" customWidth="1"/>
    <col min="3" max="3" width="7.109375" style="4" customWidth="1"/>
    <col min="4" max="4" width="6.5546875" style="4" customWidth="1"/>
    <col min="5" max="5" width="6.88671875" style="4" customWidth="1"/>
    <col min="6" max="6" width="6.33203125" style="4" customWidth="1"/>
    <col min="7" max="7" width="6.109375" style="4" customWidth="1"/>
    <col min="8" max="8" width="7.5" style="4" customWidth="1"/>
    <col min="9" max="10" width="4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5" ht="15">
      <c r="A1" s="3" t="s">
        <v>88</v>
      </c>
      <c r="B1"/>
      <c r="C1"/>
      <c r="D1"/>
      <c r="E1" s="5"/>
    </row>
    <row r="2" spans="1:5" ht="15">
      <c r="A2" s="28" t="s">
        <v>89</v>
      </c>
      <c r="B2"/>
      <c r="C2"/>
      <c r="D2"/>
      <c r="E2" s="5"/>
    </row>
    <row r="3" spans="1:5" ht="15">
      <c r="A3" s="3" t="s">
        <v>90</v>
      </c>
      <c r="B3"/>
      <c r="C3"/>
      <c r="D3"/>
      <c r="E3" s="5"/>
    </row>
    <row r="4" spans="1:5">
      <c r="A4" s="28" t="s">
        <v>92</v>
      </c>
    </row>
    <row r="5" spans="1:5" ht="15">
      <c r="A5" s="3" t="s">
        <v>91</v>
      </c>
      <c r="B5"/>
      <c r="C5"/>
      <c r="D5"/>
      <c r="E5" s="5"/>
    </row>
    <row r="6" spans="1:5" ht="15">
      <c r="A6" s="10" t="s">
        <v>93</v>
      </c>
      <c r="B6"/>
      <c r="C6"/>
      <c r="D6"/>
      <c r="E6" s="5"/>
    </row>
    <row r="7" spans="1:5" ht="15">
      <c r="A7" s="3" t="s">
        <v>94</v>
      </c>
      <c r="B7"/>
      <c r="C7"/>
      <c r="D7"/>
      <c r="E7" s="5"/>
    </row>
    <row r="8" spans="1:5" ht="15">
      <c r="A8" s="12" t="s">
        <v>23</v>
      </c>
      <c r="B8">
        <v>0.75</v>
      </c>
      <c r="C8"/>
      <c r="D8"/>
      <c r="E8" s="5"/>
    </row>
    <row r="9" spans="1:5" ht="15">
      <c r="A9" s="12"/>
      <c r="B9"/>
      <c r="C9"/>
      <c r="D9"/>
      <c r="E9" s="5"/>
    </row>
    <row r="10" spans="1:5">
      <c r="A10" s="12" t="s">
        <v>95</v>
      </c>
      <c r="B10">
        <v>0.9</v>
      </c>
      <c r="C10"/>
      <c r="D10"/>
    </row>
    <row r="11" spans="1:5" ht="13.8">
      <c r="A11" s="12" t="s">
        <v>96</v>
      </c>
      <c r="B11">
        <v>0.05</v>
      </c>
      <c r="C11"/>
      <c r="D11"/>
    </row>
    <row r="12" spans="1:5">
      <c r="A12" s="12"/>
      <c r="B12"/>
      <c r="C12"/>
      <c r="D12"/>
    </row>
    <row r="13" spans="1:5">
      <c r="A13" s="12" t="s">
        <v>0</v>
      </c>
      <c r="B13"/>
      <c r="C13"/>
      <c r="D13"/>
    </row>
    <row r="14" spans="1:5">
      <c r="A14" s="12" t="s">
        <v>97</v>
      </c>
      <c r="B14">
        <f>B10*B8+B11*(1-B8)</f>
        <v>0.6875</v>
      </c>
      <c r="C14"/>
      <c r="D14"/>
    </row>
    <row r="15" spans="1:5">
      <c r="A15" s="12" t="s">
        <v>1</v>
      </c>
      <c r="B15"/>
      <c r="C15"/>
      <c r="D15"/>
    </row>
    <row r="16" spans="1:5" ht="13.8">
      <c r="A16" s="12" t="s">
        <v>98</v>
      </c>
      <c r="B16">
        <f>B11*(1-B8)/B14</f>
        <v>1.8181818181818184E-2</v>
      </c>
      <c r="C16"/>
      <c r="D16"/>
    </row>
    <row r="17" spans="1:8">
      <c r="A17" s="18" t="s">
        <v>2</v>
      </c>
    </row>
    <row r="18" spans="1:8">
      <c r="A18" s="55" t="s">
        <v>24</v>
      </c>
    </row>
    <row r="19" spans="1:8">
      <c r="A19" s="55" t="s">
        <v>4</v>
      </c>
      <c r="B19" s="4">
        <v>10</v>
      </c>
    </row>
    <row r="20" spans="1:8">
      <c r="A20" s="55" t="s">
        <v>20</v>
      </c>
      <c r="B20" s="4">
        <f>B14</f>
        <v>0.6875</v>
      </c>
    </row>
    <row r="21" spans="1:8">
      <c r="A21" s="55" t="s">
        <v>100</v>
      </c>
      <c r="B21" s="4">
        <f>BINOMDIST(9,B19,B20,FALSE)</f>
        <v>0.10722704660111046</v>
      </c>
      <c r="C21" s="56" t="s">
        <v>21</v>
      </c>
      <c r="D21" s="4">
        <f>BINOMDIST(10,B19,B20,FALSE)</f>
        <v>2.3589950252244307E-2</v>
      </c>
      <c r="E21" s="27"/>
      <c r="G21" s="27" t="s">
        <v>15</v>
      </c>
      <c r="H21" s="4">
        <f>B21+D21</f>
        <v>0.13081699685335477</v>
      </c>
    </row>
    <row r="24" spans="1:8">
      <c r="A24" s="55" t="s">
        <v>13</v>
      </c>
    </row>
    <row r="25" spans="1:8" ht="13.8">
      <c r="A25" s="55" t="s">
        <v>99</v>
      </c>
    </row>
    <row r="27" spans="1:8">
      <c r="A27" s="5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4" zoomScale="150" zoomScaleNormal="150" workbookViewId="0">
      <selection activeCell="A4" sqref="A4"/>
    </sheetView>
  </sheetViews>
  <sheetFormatPr defaultRowHeight="12.3"/>
  <cols>
    <col min="1" max="1" width="15" customWidth="1"/>
    <col min="2" max="2" width="8.5546875" customWidth="1"/>
    <col min="3" max="3" width="8.6640625" customWidth="1"/>
    <col min="4" max="4" width="12.21875" customWidth="1"/>
    <col min="5" max="5" width="5.5546875" customWidth="1"/>
    <col min="6" max="6" width="6.6640625" customWidth="1"/>
    <col min="7" max="7" width="9.6640625" customWidth="1"/>
    <col min="10" max="10" width="8.44140625" customWidth="1"/>
  </cols>
  <sheetData>
    <row r="1" spans="1:10">
      <c r="A1" s="49" t="s">
        <v>101</v>
      </c>
    </row>
    <row r="2" spans="1:10">
      <c r="A2" s="49" t="s">
        <v>22</v>
      </c>
    </row>
    <row r="3" spans="1:10">
      <c r="A3" s="49" t="s">
        <v>102</v>
      </c>
    </row>
    <row r="4" spans="1:10">
      <c r="A4" s="50" t="s">
        <v>103</v>
      </c>
    </row>
    <row r="5" spans="1:10">
      <c r="A5" s="49" t="s">
        <v>104</v>
      </c>
    </row>
    <row r="6" spans="1:10">
      <c r="A6" s="49" t="s">
        <v>105</v>
      </c>
    </row>
    <row r="7" spans="1:10">
      <c r="A7" s="19" t="s">
        <v>106</v>
      </c>
    </row>
    <row r="8" spans="1:10">
      <c r="A8" s="3"/>
    </row>
    <row r="9" spans="1:10">
      <c r="A9" s="6" t="s">
        <v>107</v>
      </c>
    </row>
    <row r="10" spans="1:10">
      <c r="A10" s="6" t="s">
        <v>0</v>
      </c>
    </row>
    <row r="11" spans="1:10">
      <c r="A11" t="s">
        <v>16</v>
      </c>
      <c r="B11">
        <v>60</v>
      </c>
    </row>
    <row r="12" spans="1:10">
      <c r="A12" t="s">
        <v>17</v>
      </c>
      <c r="B12">
        <f>15^2</f>
        <v>225</v>
      </c>
    </row>
    <row r="13" spans="1:10">
      <c r="A13" s="6" t="s">
        <v>108</v>
      </c>
      <c r="B13" s="6" t="s">
        <v>109</v>
      </c>
      <c r="C13" s="51">
        <f>(80-B11)/SQRT(B12)</f>
        <v>1.3333333333333333</v>
      </c>
      <c r="D13" s="6" t="s">
        <v>18</v>
      </c>
      <c r="E13" s="51">
        <f>1-NORMSDIST(C13)</f>
        <v>9.1211219725867876E-2</v>
      </c>
      <c r="F13" s="8"/>
      <c r="H13" s="8"/>
    </row>
    <row r="14" spans="1:10">
      <c r="A14" s="6"/>
      <c r="B14" s="52"/>
    </row>
    <row r="15" spans="1:10">
      <c r="A15" s="6" t="s">
        <v>1</v>
      </c>
      <c r="B15" s="11"/>
    </row>
    <row r="16" spans="1:10">
      <c r="A16" s="6" t="s">
        <v>110</v>
      </c>
      <c r="B16">
        <f>(65-B11)/SQRT(B12)</f>
        <v>0.33333333333333331</v>
      </c>
      <c r="C16" s="51" t="s">
        <v>19</v>
      </c>
      <c r="D16" s="53">
        <f>(75-B11)/SQRT(B12)</f>
        <v>1</v>
      </c>
      <c r="E16" s="51" t="s">
        <v>3</v>
      </c>
      <c r="F16">
        <f>_xlfn.NORM.S.DIST(D16,TRUE)</f>
        <v>0.84134474606854304</v>
      </c>
      <c r="G16" s="8" t="s">
        <v>14</v>
      </c>
      <c r="H16">
        <f>_xlfn.NORM.S.DIST(B16,TRUE)</f>
        <v>0.63055865981823644</v>
      </c>
      <c r="I16" s="8" t="s">
        <v>15</v>
      </c>
      <c r="J16">
        <f>F16-H16</f>
        <v>0.21078608625030659</v>
      </c>
    </row>
    <row r="17" spans="1:10">
      <c r="B17" s="52"/>
    </row>
    <row r="18" spans="1:10">
      <c r="A18" t="s">
        <v>2</v>
      </c>
    </row>
    <row r="19" spans="1:10">
      <c r="A19" s="6" t="s">
        <v>111</v>
      </c>
    </row>
    <row r="20" spans="1:10">
      <c r="A20" t="s">
        <v>16</v>
      </c>
      <c r="B20">
        <f>B11*5</f>
        <v>300</v>
      </c>
    </row>
    <row r="21" spans="1:10">
      <c r="A21" t="s">
        <v>17</v>
      </c>
      <c r="B21">
        <f>B12*25</f>
        <v>5625</v>
      </c>
    </row>
    <row r="22" spans="1:10">
      <c r="A22" s="6" t="s">
        <v>112</v>
      </c>
      <c r="B22">
        <f>(350-B20)/SQRT(B21)</f>
        <v>0.66666666666666663</v>
      </c>
      <c r="C22" t="s">
        <v>3</v>
      </c>
      <c r="D22">
        <f>1-_xlfn.NORM.S.DIST(B22,TRUE)</f>
        <v>0.25249253754692291</v>
      </c>
    </row>
    <row r="25" spans="1:10">
      <c r="A25" t="s">
        <v>13</v>
      </c>
      <c r="B25" s="54"/>
    </row>
    <row r="26" spans="1:10">
      <c r="A26" s="6" t="s">
        <v>113</v>
      </c>
      <c r="B26" s="52"/>
    </row>
    <row r="27" spans="1:10">
      <c r="A27" t="s">
        <v>20</v>
      </c>
      <c r="B27" s="51">
        <f>E13</f>
        <v>9.1211219725867876E-2</v>
      </c>
    </row>
    <row r="28" spans="1:10">
      <c r="A28" t="s">
        <v>4</v>
      </c>
      <c r="B28">
        <v>5</v>
      </c>
    </row>
    <row r="29" spans="1:10">
      <c r="A29" s="6" t="s">
        <v>114</v>
      </c>
      <c r="C29">
        <f>BINOMDIST(0,5,$B27,FALSE)</f>
        <v>0.61989021840954617</v>
      </c>
      <c r="D29" s="15" t="s">
        <v>21</v>
      </c>
      <c r="E29">
        <f>BINOMDIST(1,5,$B27,FALSE)</f>
        <v>0.31107857042542941</v>
      </c>
      <c r="F29" s="8" t="s">
        <v>15</v>
      </c>
      <c r="G29">
        <f>C29+E29</f>
        <v>0.93096878883497558</v>
      </c>
      <c r="J29" s="8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tabSelected="1" topLeftCell="A18" zoomScale="150" zoomScaleNormal="150" workbookViewId="0">
      <selection activeCell="A37" sqref="A37"/>
    </sheetView>
  </sheetViews>
  <sheetFormatPr defaultColWidth="9.109375" defaultRowHeight="12.3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>
      <c r="A1" s="3" t="s">
        <v>115</v>
      </c>
      <c r="B1" s="3"/>
    </row>
    <row r="2" spans="1:8">
      <c r="A2" s="3" t="s">
        <v>117</v>
      </c>
      <c r="B2" s="3"/>
    </row>
    <row r="3" spans="1:8">
      <c r="A3" s="3" t="s">
        <v>116</v>
      </c>
      <c r="B3" s="3"/>
    </row>
    <row r="4" spans="1:8">
      <c r="A4" s="3" t="s">
        <v>118</v>
      </c>
      <c r="B4" s="3"/>
    </row>
    <row r="5" spans="1:8">
      <c r="A5" s="3" t="s">
        <v>119</v>
      </c>
      <c r="B5" s="3"/>
    </row>
    <row r="6" spans="1:8">
      <c r="A6" s="3" t="s">
        <v>120</v>
      </c>
      <c r="B6" s="3"/>
    </row>
    <row r="7" spans="1:8">
      <c r="A7" s="19" t="s">
        <v>32</v>
      </c>
      <c r="B7" s="17"/>
      <c r="C7" s="17"/>
      <c r="D7" s="17"/>
      <c r="E7" s="17"/>
      <c r="F7" s="17"/>
      <c r="G7" s="17"/>
      <c r="H7" s="10"/>
    </row>
    <row r="8" spans="1:8">
      <c r="A8" s="19" t="s">
        <v>121</v>
      </c>
      <c r="B8" s="17"/>
      <c r="C8" s="17"/>
      <c r="D8" s="17"/>
      <c r="E8" s="17"/>
      <c r="F8" s="17"/>
      <c r="G8" s="17"/>
      <c r="H8" s="10"/>
    </row>
    <row r="9" spans="1:8" ht="15">
      <c r="A9" s="18" t="s">
        <v>4</v>
      </c>
      <c r="B9" s="22">
        <v>360</v>
      </c>
      <c r="C9" s="9"/>
      <c r="D9" s="9"/>
      <c r="E9" s="9"/>
    </row>
    <row r="10" spans="1:8">
      <c r="A10" s="23" t="s">
        <v>5</v>
      </c>
      <c r="B10" s="6">
        <f>9/B9</f>
        <v>2.5000000000000001E-2</v>
      </c>
      <c r="C10" s="9"/>
      <c r="D10" s="9"/>
      <c r="E10" s="9"/>
    </row>
    <row r="11" spans="1:8">
      <c r="A11" s="23" t="s">
        <v>6</v>
      </c>
      <c r="B11" s="6">
        <f>SQRT(B10*(1-B10))</f>
        <v>0.15612494995995996</v>
      </c>
      <c r="C11" s="9"/>
      <c r="D11" s="9"/>
      <c r="E11" s="9"/>
    </row>
    <row r="12" spans="1:8">
      <c r="A12" s="6"/>
      <c r="B12" s="6"/>
      <c r="C12" s="9"/>
      <c r="D12" s="9"/>
      <c r="E12" s="9"/>
    </row>
    <row r="13" spans="1:8">
      <c r="A13" s="6" t="s">
        <v>0</v>
      </c>
      <c r="B13" s="6"/>
      <c r="C13" s="9"/>
      <c r="D13" s="9"/>
      <c r="E13" s="9"/>
    </row>
    <row r="14" spans="1:8">
      <c r="A14" s="7" t="s">
        <v>11</v>
      </c>
      <c r="B14" s="6">
        <v>0.9</v>
      </c>
      <c r="C14" s="9"/>
      <c r="D14" s="9"/>
      <c r="E14" s="9"/>
    </row>
    <row r="15" spans="1:8" ht="14.7">
      <c r="A15" s="6" t="s">
        <v>8</v>
      </c>
      <c r="B15" s="6">
        <f>NORMSINV((1-B14)/2+B14)</f>
        <v>1.6448536269514715</v>
      </c>
      <c r="C15" s="9"/>
      <c r="D15" s="9"/>
      <c r="E15" s="9"/>
    </row>
    <row r="16" spans="1:8">
      <c r="A16" s="6" t="s">
        <v>9</v>
      </c>
      <c r="B16" s="6"/>
      <c r="C16" s="9"/>
      <c r="D16" s="21">
        <f>B10-B15*B11/SQRT(B9)</f>
        <v>1.1465309828529136E-2</v>
      </c>
      <c r="E16" s="9"/>
    </row>
    <row r="17" spans="1:5">
      <c r="A17" s="6" t="s">
        <v>10</v>
      </c>
      <c r="B17" s="6"/>
      <c r="C17" s="9"/>
      <c r="D17" s="21">
        <f>B10+B15*B11/SQRT(B9)</f>
        <v>3.8534690171470869E-2</v>
      </c>
      <c r="E17" s="9"/>
    </row>
    <row r="18" spans="1:5">
      <c r="A18" s="12"/>
      <c r="B18" s="6"/>
      <c r="C18" s="9"/>
      <c r="D18" s="9"/>
      <c r="E18" s="9"/>
    </row>
    <row r="19" spans="1:5">
      <c r="A19" s="12" t="s">
        <v>133</v>
      </c>
      <c r="B19" s="6"/>
      <c r="C19" s="9"/>
      <c r="D19" s="9"/>
      <c r="E19" s="9"/>
    </row>
    <row r="20" spans="1:5">
      <c r="A20" s="6" t="s">
        <v>134</v>
      </c>
      <c r="B20" s="6"/>
      <c r="C20" s="21"/>
      <c r="D20" s="9"/>
      <c r="E20" s="9"/>
    </row>
    <row r="21" spans="1:5">
      <c r="A21" s="6" t="s">
        <v>2</v>
      </c>
      <c r="B21" s="6"/>
    </row>
    <row r="22" spans="1:5">
      <c r="A22" s="7" t="s">
        <v>7</v>
      </c>
      <c r="B22" s="6">
        <v>0.05</v>
      </c>
    </row>
    <row r="23" spans="1:5" ht="14.7">
      <c r="A23" s="15" t="s">
        <v>29</v>
      </c>
      <c r="B23" s="6">
        <f>NORMSINV(1-B22)</f>
        <v>1.6448536269514715</v>
      </c>
    </row>
    <row r="24" spans="1:5">
      <c r="A24" s="6" t="s">
        <v>12</v>
      </c>
      <c r="B24" s="11">
        <f>(B10-0.03)/(SQRT(0.03*0.97/B9))</f>
        <v>-0.55612799832004822</v>
      </c>
    </row>
    <row r="25" spans="1:5">
      <c r="A25" s="6" t="s">
        <v>31</v>
      </c>
      <c r="B25"/>
    </row>
    <row r="26" spans="1:5">
      <c r="A26" s="6"/>
      <c r="B26"/>
    </row>
    <row r="27" spans="1:5">
      <c r="A27" s="6" t="s">
        <v>13</v>
      </c>
      <c r="B27"/>
    </row>
    <row r="28" spans="1:5">
      <c r="A28" s="12"/>
      <c r="B28" s="6"/>
      <c r="C28" s="9"/>
    </row>
    <row r="29" spans="1:5">
      <c r="A29" s="6" t="s">
        <v>26</v>
      </c>
      <c r="B29" s="6"/>
      <c r="C29" s="21">
        <f>D17-F15</f>
        <v>3.8534690171470869E-2</v>
      </c>
    </row>
    <row r="30" spans="1:5">
      <c r="A30" s="6" t="s">
        <v>27</v>
      </c>
      <c r="B30" s="6"/>
      <c r="C30" s="4">
        <v>0.02</v>
      </c>
    </row>
    <row r="31" spans="1:5" ht="14.7">
      <c r="A31" s="6" t="s">
        <v>33</v>
      </c>
      <c r="B31" s="3"/>
      <c r="C31" s="4">
        <f>C30</f>
        <v>0.02</v>
      </c>
    </row>
    <row r="32" spans="1:5">
      <c r="A32" s="6" t="s">
        <v>4</v>
      </c>
      <c r="B32">
        <f>_xlfn.CEILING.MATH(B15^2*4*B10*(1-B10)/C30^2)</f>
        <v>660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topLeftCell="A18" zoomScale="150" zoomScaleNormal="150" workbookViewId="0">
      <selection activeCell="B37" sqref="B37"/>
    </sheetView>
  </sheetViews>
  <sheetFormatPr defaultColWidth="9.109375" defaultRowHeight="12.3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>
      <c r="A1" s="3" t="s">
        <v>122</v>
      </c>
      <c r="B1" s="3"/>
    </row>
    <row r="2" spans="1:8">
      <c r="A2" s="3"/>
      <c r="B2" s="3"/>
    </row>
    <row r="3" spans="1:8">
      <c r="A3" s="3">
        <v>58</v>
      </c>
      <c r="B3" s="3">
        <v>66</v>
      </c>
      <c r="C3" s="28">
        <v>49</v>
      </c>
      <c r="D3" s="28">
        <v>53</v>
      </c>
      <c r="E3" s="28">
        <v>61</v>
      </c>
    </row>
    <row r="4" spans="1:8">
      <c r="A4" s="10" t="s">
        <v>123</v>
      </c>
      <c r="B4" s="17"/>
      <c r="C4" s="17"/>
      <c r="D4" s="17"/>
      <c r="E4" s="17"/>
      <c r="F4" s="17"/>
      <c r="G4" s="17"/>
      <c r="H4" s="10"/>
    </row>
    <row r="5" spans="1:8">
      <c r="A5" s="19" t="s">
        <v>126</v>
      </c>
      <c r="B5" s="10"/>
      <c r="C5" s="10"/>
      <c r="D5" s="10"/>
      <c r="E5" s="10"/>
      <c r="F5" s="10"/>
      <c r="G5" s="10"/>
      <c r="H5" s="10"/>
    </row>
    <row r="6" spans="1:8">
      <c r="A6" s="19" t="s">
        <v>127</v>
      </c>
      <c r="B6" s="10"/>
      <c r="C6" s="10"/>
      <c r="D6" s="10"/>
      <c r="E6" s="10"/>
      <c r="F6" s="10"/>
      <c r="G6" s="10"/>
      <c r="H6" s="10"/>
    </row>
    <row r="7" spans="1:8">
      <c r="A7" s="10" t="s">
        <v>129</v>
      </c>
      <c r="B7" s="10"/>
      <c r="C7" s="10"/>
      <c r="D7" s="10"/>
      <c r="E7" s="10"/>
      <c r="F7" s="10"/>
      <c r="G7" s="10"/>
      <c r="H7" s="10"/>
    </row>
    <row r="8" spans="1:8">
      <c r="A8" s="19" t="s">
        <v>124</v>
      </c>
      <c r="B8" s="10"/>
      <c r="C8" s="10"/>
      <c r="D8" s="10"/>
      <c r="E8" s="10"/>
      <c r="F8" s="10"/>
      <c r="G8" s="10"/>
      <c r="H8" s="10"/>
    </row>
    <row r="9" spans="1:8">
      <c r="B9" s="10"/>
      <c r="C9" s="10"/>
      <c r="D9" s="10"/>
      <c r="E9" s="10"/>
      <c r="F9" s="10"/>
      <c r="G9" s="10"/>
      <c r="H9" s="10"/>
    </row>
    <row r="10" spans="1:8" ht="15">
      <c r="B10" s="2"/>
    </row>
    <row r="11" spans="1:8" ht="15">
      <c r="A11" s="18" t="s">
        <v>4</v>
      </c>
      <c r="B11" s="5">
        <v>5</v>
      </c>
      <c r="C11" s="9"/>
      <c r="D11" s="9"/>
      <c r="E11" s="9"/>
    </row>
    <row r="12" spans="1:8">
      <c r="A12" s="23" t="s">
        <v>5</v>
      </c>
      <c r="B12" s="6">
        <f>AVERAGE(A3:E3)</f>
        <v>57.4</v>
      </c>
      <c r="C12" s="9" t="s">
        <v>125</v>
      </c>
      <c r="D12" s="9"/>
      <c r="E12" s="9"/>
    </row>
    <row r="13" spans="1:8">
      <c r="A13" s="23" t="s">
        <v>6</v>
      </c>
      <c r="B13" s="6">
        <f>_xlfn.STDEV.S(A3:E3)</f>
        <v>6.6558245169175079</v>
      </c>
      <c r="C13" s="9" t="s">
        <v>25</v>
      </c>
      <c r="D13" s="9">
        <f>B13^2</f>
        <v>44.300000000000175</v>
      </c>
      <c r="E13" s="9"/>
    </row>
    <row r="14" spans="1:8">
      <c r="A14" s="6"/>
      <c r="B14" s="6"/>
      <c r="C14" s="9"/>
      <c r="D14" s="9"/>
      <c r="E14" s="9"/>
    </row>
    <row r="15" spans="1:8">
      <c r="A15" s="6" t="s">
        <v>0</v>
      </c>
      <c r="B15" s="6"/>
      <c r="C15" s="9"/>
      <c r="D15" s="9"/>
      <c r="E15" s="9"/>
    </row>
    <row r="16" spans="1:8">
      <c r="A16" s="7" t="s">
        <v>7</v>
      </c>
      <c r="B16" s="6">
        <v>0.1</v>
      </c>
      <c r="C16" s="9"/>
      <c r="D16" s="9"/>
      <c r="E16" s="9"/>
    </row>
    <row r="17" spans="1:5" ht="14.7">
      <c r="A17" s="6" t="s">
        <v>34</v>
      </c>
      <c r="B17" s="6">
        <f>TINV(B16,B11-1)</f>
        <v>2.1318467863266499</v>
      </c>
      <c r="C17" s="9"/>
      <c r="D17" s="9"/>
      <c r="E17" s="9"/>
    </row>
    <row r="18" spans="1:5">
      <c r="A18" s="6" t="s">
        <v>9</v>
      </c>
      <c r="B18" s="6"/>
      <c r="C18" s="9"/>
      <c r="D18" s="21">
        <f>B12-B17*B13/SQRT(B11)</f>
        <v>51.0543976974215</v>
      </c>
      <c r="E18" s="9"/>
    </row>
    <row r="19" spans="1:5">
      <c r="A19" s="6" t="s">
        <v>10</v>
      </c>
      <c r="B19" s="6"/>
      <c r="C19" s="9"/>
      <c r="D19" s="21">
        <f>B12+B17*B13/SQRT(B11)</f>
        <v>63.745602302578497</v>
      </c>
      <c r="E19" s="9"/>
    </row>
    <row r="20" spans="1:5">
      <c r="A20" s="12"/>
      <c r="B20" s="6"/>
      <c r="C20" s="9"/>
      <c r="D20" s="9"/>
      <c r="E20" s="9"/>
    </row>
    <row r="21" spans="1:5">
      <c r="A21" s="6"/>
      <c r="B21" s="11"/>
    </row>
    <row r="22" spans="1:5">
      <c r="A22" s="6" t="s">
        <v>1</v>
      </c>
      <c r="B22"/>
    </row>
    <row r="23" spans="1:5">
      <c r="A23" s="6" t="s">
        <v>28</v>
      </c>
      <c r="B23" s="6">
        <v>50</v>
      </c>
    </row>
    <row r="24" spans="1:5">
      <c r="A24" s="6" t="s">
        <v>30</v>
      </c>
      <c r="B24" s="6">
        <f>B23</f>
        <v>50</v>
      </c>
    </row>
    <row r="25" spans="1:5">
      <c r="A25" s="6"/>
      <c r="B25" s="6"/>
    </row>
    <row r="26" spans="1:5">
      <c r="A26" s="7" t="s">
        <v>7</v>
      </c>
      <c r="B26" s="6">
        <v>0.1</v>
      </c>
    </row>
    <row r="27" spans="1:5" ht="14.7">
      <c r="A27" s="15" t="s">
        <v>35</v>
      </c>
      <c r="B27" s="6">
        <f>TINV(B26*2,B11-1)</f>
        <v>1.5332062740589443</v>
      </c>
    </row>
    <row r="28" spans="1:5">
      <c r="A28"/>
      <c r="B28"/>
    </row>
    <row r="29" spans="1:5">
      <c r="A29" s="6" t="s">
        <v>12</v>
      </c>
      <c r="B29">
        <f>(B12-B23)/SQRT(B13^2/B11)</f>
        <v>2.4860786205285588</v>
      </c>
    </row>
    <row r="30" spans="1:5">
      <c r="A30" s="6" t="s">
        <v>128</v>
      </c>
      <c r="B30"/>
    </row>
    <row r="32" spans="1:5">
      <c r="A32" s="46" t="s">
        <v>2</v>
      </c>
    </row>
    <row r="33" spans="1:4">
      <c r="A33" s="7" t="s">
        <v>7</v>
      </c>
      <c r="B33" s="6">
        <v>0.05</v>
      </c>
      <c r="C33" s="9"/>
    </row>
    <row r="34" spans="1:4" ht="14.7">
      <c r="A34" s="57" t="s">
        <v>36</v>
      </c>
      <c r="B34" s="6">
        <f>_xlfn.CHISQ.INV(1-B33/2,B11-1)</f>
        <v>11.143286781877796</v>
      </c>
      <c r="C34" s="9"/>
    </row>
    <row r="35" spans="1:4" ht="14.7">
      <c r="A35" s="57" t="s">
        <v>37</v>
      </c>
      <c r="B35" s="4">
        <f>_xlfn.CHISQ.INV(B33/2,B11-1)</f>
        <v>0.48441855708792997</v>
      </c>
    </row>
    <row r="36" spans="1:4">
      <c r="A36" s="6" t="s">
        <v>9</v>
      </c>
      <c r="B36" s="6"/>
      <c r="C36" s="9"/>
      <c r="D36" s="4">
        <f>(B11-1)*B13^2/B34</f>
        <v>15.901950965506792</v>
      </c>
    </row>
    <row r="37" spans="1:4">
      <c r="A37" s="6" t="s">
        <v>10</v>
      </c>
      <c r="B37" s="6"/>
      <c r="C37" s="9"/>
      <c r="D37" s="4">
        <f>(B11-1)*B13^2/B35</f>
        <v>365.7993638089219</v>
      </c>
    </row>
    <row r="39" spans="1:4">
      <c r="A39" s="46" t="s">
        <v>13</v>
      </c>
    </row>
    <row r="40" spans="1:4">
      <c r="A40" s="6" t="s">
        <v>130</v>
      </c>
    </row>
    <row r="41" spans="1:4">
      <c r="A41" s="9" t="s">
        <v>131</v>
      </c>
    </row>
    <row r="42" spans="1:4">
      <c r="A42" s="20" t="s">
        <v>132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2023-06-29T08:26:22Z</dcterms:modified>
</cp:coreProperties>
</file>