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30712\"/>
    </mc:Choice>
  </mc:AlternateContent>
  <xr:revisionPtr revIDLastSave="0" documentId="13_ncr:1_{2AB78CAB-E8EC-4C73-8BD9-1C5B32925750}" xr6:coauthVersionLast="36" xr6:coauthVersionMax="36" xr10:uidLastSave="{00000000-0000-0000-0000-000000000000}"/>
  <bookViews>
    <workbookView xWindow="240" yWindow="36" windowWidth="15480" windowHeight="9720" activeTab="5" xr2:uid="{00000000-000D-0000-FFFF-FFFF00000000}"/>
  </bookViews>
  <sheets>
    <sheet name="Foglio1" sheetId="3" r:id="rId1"/>
    <sheet name="Foglio2" sheetId="8" r:id="rId2"/>
    <sheet name="Foglio3" sheetId="4" r:id="rId3"/>
    <sheet name="Foglio4" sheetId="5" r:id="rId4"/>
    <sheet name="Foglio5" sheetId="9" r:id="rId5"/>
    <sheet name="Foglio6" sheetId="7" r:id="rId6"/>
  </sheets>
  <definedNames>
    <definedName name="_xlnm.Print_Area" localSheetId="0">Foglio1!$A$1:$O$79</definedName>
    <definedName name="_xlnm.Print_Area" localSheetId="1">Foglio2!#REF!</definedName>
    <definedName name="_xlnm.Print_Area" localSheetId="2">Foglio3!$A$1:$R$10</definedName>
    <definedName name="_xlnm.Print_Area" localSheetId="3">Foglio4!$A$1:$V$53</definedName>
    <definedName name="_xlnm.Print_Area" localSheetId="4">Foglio5!#REF!</definedName>
    <definedName name="_xlnm.Print_Area" localSheetId="5">Foglio6!$A$1:$S$82</definedName>
  </definedNames>
  <calcPr calcId="191029"/>
</workbook>
</file>

<file path=xl/calcChain.xml><?xml version="1.0" encoding="utf-8"?>
<calcChain xmlns="http://schemas.openxmlformats.org/spreadsheetml/2006/main">
  <c r="B17" i="5" l="1"/>
  <c r="B15" i="5"/>
  <c r="B29" i="9"/>
  <c r="B31" i="4"/>
  <c r="D30" i="4"/>
  <c r="B30" i="4"/>
  <c r="A26" i="8"/>
  <c r="G13" i="7"/>
  <c r="B23" i="9"/>
  <c r="B22" i="4" l="1"/>
  <c r="B37" i="8"/>
  <c r="B43" i="3"/>
  <c r="C20" i="3"/>
  <c r="C19" i="3"/>
  <c r="B28" i="5" l="1"/>
  <c r="B8" i="5"/>
  <c r="B21" i="5" s="1"/>
  <c r="B27" i="5" l="1"/>
  <c r="B26" i="5"/>
  <c r="B22" i="5"/>
  <c r="B10" i="7" l="1"/>
  <c r="B13" i="9"/>
  <c r="B25" i="4"/>
  <c r="B21" i="4"/>
  <c r="F16" i="4"/>
  <c r="D16" i="4"/>
  <c r="D13" i="4"/>
  <c r="B13" i="4"/>
  <c r="G40" i="8"/>
  <c r="B33" i="8"/>
  <c r="B32" i="8" s="1"/>
  <c r="C26" i="8"/>
  <c r="D26" i="8"/>
  <c r="E26" i="8"/>
  <c r="F26" i="8"/>
  <c r="G26" i="8"/>
  <c r="B30" i="8"/>
  <c r="N5" i="8"/>
  <c r="N6" i="8"/>
  <c r="B42" i="3"/>
  <c r="C37" i="3"/>
  <c r="D37" i="3"/>
  <c r="E37" i="3"/>
  <c r="C38" i="3"/>
  <c r="F38" i="3" s="1"/>
  <c r="D38" i="3"/>
  <c r="E38" i="3"/>
  <c r="D36" i="3"/>
  <c r="D39" i="3" s="1"/>
  <c r="E36" i="3"/>
  <c r="C36" i="3"/>
  <c r="F37" i="3"/>
  <c r="C29" i="3"/>
  <c r="F29" i="3" s="1"/>
  <c r="D29" i="3"/>
  <c r="E29" i="3"/>
  <c r="C30" i="3"/>
  <c r="D30" i="3"/>
  <c r="E30" i="3"/>
  <c r="D28" i="3"/>
  <c r="D31" i="3" s="1"/>
  <c r="E28" i="3"/>
  <c r="C28" i="3"/>
  <c r="C31" i="3" s="1"/>
  <c r="F30" i="3"/>
  <c r="F22" i="3"/>
  <c r="C22" i="3"/>
  <c r="D22" i="3"/>
  <c r="E22" i="3"/>
  <c r="D20" i="3"/>
  <c r="F20" i="3" s="1"/>
  <c r="E20" i="3"/>
  <c r="C21" i="3"/>
  <c r="F21" i="3" s="1"/>
  <c r="D21" i="3"/>
  <c r="E21" i="3"/>
  <c r="D19" i="3"/>
  <c r="E19" i="3"/>
  <c r="F36" i="3" l="1"/>
  <c r="F39" i="3" s="1"/>
  <c r="C39" i="3"/>
  <c r="E39" i="3"/>
  <c r="E31" i="3"/>
  <c r="F28" i="3"/>
  <c r="F31" i="3" s="1"/>
  <c r="F19" i="3"/>
  <c r="B21" i="9" l="1"/>
  <c r="B15" i="9"/>
  <c r="E16" i="9" s="1"/>
  <c r="E17" i="9" l="1"/>
  <c r="B30" i="9"/>
  <c r="B35" i="9" s="1"/>
  <c r="A11" i="8" l="1"/>
  <c r="B11" i="8"/>
  <c r="B24" i="8"/>
  <c r="A24" i="8"/>
  <c r="B23" i="8"/>
  <c r="A23" i="8"/>
  <c r="B22" i="8"/>
  <c r="A22" i="8"/>
  <c r="B21" i="8"/>
  <c r="A21" i="8"/>
  <c r="B20" i="8"/>
  <c r="A20" i="8"/>
  <c r="J16" i="4"/>
  <c r="H16" i="4"/>
  <c r="D25" i="4" l="1"/>
  <c r="B29" i="8"/>
  <c r="B26" i="8"/>
  <c r="L16" i="4"/>
  <c r="B33" i="7"/>
  <c r="B32" i="7"/>
  <c r="B23" i="7"/>
  <c r="B14" i="7"/>
  <c r="F11" i="7"/>
  <c r="D32" i="4" l="1"/>
  <c r="H32" i="4" s="1"/>
  <c r="F32" i="4"/>
  <c r="D22" i="8"/>
  <c r="F22" i="8" s="1"/>
  <c r="C24" i="8"/>
  <c r="C20" i="8"/>
  <c r="E20" i="8" s="1"/>
  <c r="C23" i="8"/>
  <c r="E23" i="8" s="1"/>
  <c r="C22" i="8"/>
  <c r="E22" i="8" s="1"/>
  <c r="C21" i="8"/>
  <c r="D21" i="8"/>
  <c r="F21" i="8" s="1"/>
  <c r="D23" i="8"/>
  <c r="F23" i="8" s="1"/>
  <c r="D24" i="8"/>
  <c r="F24" i="8" s="1"/>
  <c r="D20" i="8"/>
  <c r="E24" i="8"/>
  <c r="C11" i="7"/>
  <c r="B11" i="7"/>
  <c r="E11" i="7"/>
  <c r="D11" i="7"/>
  <c r="H11" i="7" l="1"/>
  <c r="C16" i="7" s="1"/>
  <c r="G23" i="8"/>
  <c r="G21" i="8"/>
  <c r="G22" i="8"/>
  <c r="G24" i="8"/>
  <c r="E21" i="8"/>
  <c r="G20" i="8"/>
  <c r="F20" i="8"/>
  <c r="C15" i="7" l="1"/>
  <c r="B25" i="7"/>
  <c r="C35" i="7"/>
  <c r="C34" i="7"/>
  <c r="F7" i="3"/>
  <c r="F8" i="3"/>
  <c r="F9" i="3"/>
  <c r="C10" i="3"/>
  <c r="D10" i="3"/>
  <c r="E10" i="3"/>
  <c r="F10" i="3" l="1"/>
</calcChain>
</file>

<file path=xl/sharedStrings.xml><?xml version="1.0" encoding="utf-8"?>
<sst xmlns="http://schemas.openxmlformats.org/spreadsheetml/2006/main" count="189" uniqueCount="128">
  <si>
    <t>a)</t>
  </si>
  <si>
    <t>b)</t>
  </si>
  <si>
    <t>m =</t>
  </si>
  <si>
    <t>-</t>
  </si>
  <si>
    <t>c)</t>
  </si>
  <si>
    <t>n =</t>
  </si>
  <si>
    <r>
      <t>a</t>
    </r>
    <r>
      <rPr>
        <sz val="10"/>
        <rFont val="Arial"/>
        <family val="2"/>
      </rPr>
      <t xml:space="preserve"> =</t>
    </r>
  </si>
  <si>
    <t>xm =</t>
  </si>
  <si>
    <r>
      <t>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</si>
  <si>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t =</t>
  </si>
  <si>
    <t>p =</t>
  </si>
  <si>
    <t>d)</t>
  </si>
  <si>
    <t>s =</t>
  </si>
  <si>
    <t>e titolo di studio è riportata in tabella:</t>
  </si>
  <si>
    <t>Reddito mensile</t>
  </si>
  <si>
    <t>Titolo di studio</t>
  </si>
  <si>
    <t>Licenza media</t>
  </si>
  <si>
    <t>Diploma</t>
  </si>
  <si>
    <t>Laurea</t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</si>
  <si>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</si>
  <si>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Estremo inferiore =</t>
  </si>
  <si>
    <t>Estremo superiore =</t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</si>
  <si>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</si>
  <si>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Arial"/>
        <family val="2"/>
      </rPr>
      <t xml:space="preserve"> =</t>
    </r>
  </si>
  <si>
    <t>a =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</si>
  <si>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</si>
  <si>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</si>
  <si>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p-value =</t>
  </si>
  <si>
    <t>=</t>
  </si>
  <si>
    <t>s2 =</t>
  </si>
  <si>
    <t>1-a =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</si>
  <si>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</t>
    </r>
  </si>
  <si>
    <t>I dati non contengono sufficiente evidenza per rifiutare l'ipotesi nulla.</t>
  </si>
  <si>
    <t>) =</t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</si>
  <si>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&gt;</t>
    </r>
  </si>
  <si>
    <t xml:space="preserve">Le vendite giornaliere di un certo prodotto si distribuiscono </t>
  </si>
  <si>
    <t>Le vendite possono essere considerate indipendenti da un giorno all'altro.</t>
  </si>
  <si>
    <t>) - P(Z&lt;</t>
  </si>
  <si>
    <t xml:space="preserve">entrambi espressi in migliaia di euro. </t>
  </si>
  <si>
    <t>Spesa per consumi</t>
  </si>
  <si>
    <t>Reddito</t>
  </si>
  <si>
    <t>a) Si rappresentino graficamente i dati in maniera opportuna.</t>
  </si>
  <si>
    <t>b) Si stimino i parametri della retta di regressione che spiega la spesa in funzione del reddito e si interpreti il valore del coefficiente angolare.</t>
  </si>
  <si>
    <t xml:space="preserve">c) Si determini la bontà di adattamento della retta ai dati e si commenti il risultato. </t>
  </si>
  <si>
    <t>X</t>
  </si>
  <si>
    <t>Y</t>
  </si>
  <si>
    <t>x-xmedio</t>
  </si>
  <si>
    <t>y-ymedio</t>
  </si>
  <si>
    <t>(x-xmedio)^2</t>
  </si>
  <si>
    <t>(y-ymedio)^2</t>
  </si>
  <si>
    <t>(x-xmedio)*(y-ymedio)</t>
  </si>
  <si>
    <t>xmedio</t>
  </si>
  <si>
    <t>ymedio</t>
  </si>
  <si>
    <t>b0 =</t>
  </si>
  <si>
    <t>b1=</t>
  </si>
  <si>
    <t xml:space="preserve">R quadro = </t>
  </si>
  <si>
    <t xml:space="preserve">d) </t>
  </si>
  <si>
    <t>euro</t>
  </si>
  <si>
    <t>televisiva di un certo prodotto.</t>
  </si>
  <si>
    <t xml:space="preserve">b) Quanti consumatori occorrerebbe intervistare </t>
  </si>
  <si>
    <t xml:space="preserve">Estremo inferiore dell'intervallo = </t>
  </si>
  <si>
    <t xml:space="preserve">Estremo superiore dell'intervallo = </t>
  </si>
  <si>
    <t xml:space="preserve">A = 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</si>
  <si>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</si>
  <si>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&gt; </t>
    </r>
  </si>
  <si>
    <t>statistica test =</t>
  </si>
  <si>
    <t>Possiamo rifiutare l'ipotesi nulla. Quindi l'obiettivo può considerarsi raggiunto.</t>
  </si>
  <si>
    <t>d) Si calcoli il p-value per la verifica delle ipotesi di cui al punto c) e si dia la definizione di p-value.</t>
  </si>
  <si>
    <t xml:space="preserve">La distribuzione dei dipendenti di una certa azienda per classi di reddito mensile </t>
  </si>
  <si>
    <t>Basso</t>
  </si>
  <si>
    <t>Medio</t>
  </si>
  <si>
    <t>Alto</t>
  </si>
  <si>
    <t>a) Si calcolino le distribuzioni di frequenze relative del carattere Reddito, condizionate al titolo di studio.</t>
  </si>
  <si>
    <t>b) Sulla base del risultato precedente, si può concludere che ci sia indipendenza tra i due caratteri? Motivare la risposta</t>
  </si>
  <si>
    <t>c) Si calcoli un opportuno indice di associazione e si commenti il risultato.</t>
  </si>
  <si>
    <t>d) Per i dati a disposizione si sarebbe potuto calcolare l'indice di dipendenza in media (eta quadro)? Motivare la risposta.</t>
  </si>
  <si>
    <t>Le distribuzioni condizionate sono diverse tra loro, quindi sussiste dipendenza</t>
  </si>
  <si>
    <t>Chi-quadro =</t>
  </si>
  <si>
    <t>Cramer =</t>
  </si>
  <si>
    <t>Grado di associazione piuttosto consistente</t>
  </si>
  <si>
    <t>Non  si sarebbe potuto utilizzare l'indice di dipendenza in media poiché entrambi i caratteri sono stati codificati come qualitativi</t>
  </si>
  <si>
    <t xml:space="preserve">La tabella seguente riporta la spesa mensile per consumi di 5 famiglie e il loro reddito mensile, </t>
  </si>
  <si>
    <t xml:space="preserve">d) Si preveda la spesa media mensile per consumi di una famiglia con un reddito di 2800 euro. </t>
  </si>
  <si>
    <t>All'aumentare di 1000 euro al mese di reddito, la spesa per consumi aumenta in media di 230 euro</t>
  </si>
  <si>
    <t>Si ha un buon adattamento della retta ai dati.</t>
  </si>
  <si>
    <t xml:space="preserve">Spesa media mensile per consumi di una famiglia con un reddito di 2800 euro = </t>
  </si>
  <si>
    <t xml:space="preserve">secondo una gaussiana di media pari a 3 mila euro e deviazione standard pari a 0,8 mila euro. </t>
  </si>
  <si>
    <t>a) Qual è la probabilità che in un determinato giorno l'ammontare delle vendite sia inferiore a 2 mila euro?</t>
  </si>
  <si>
    <t>b) Qual è la probabilità che in un determinato giorno l'ammontare delle vendite sia compreso tra 1 e 1,5 mila euro?</t>
  </si>
  <si>
    <t>c) Qual è la probabilità che su 30 giorni l'ammontare medio delle vendite sia superiore a 3,2 mila euro?</t>
  </si>
  <si>
    <t>P(X&lt;2) = P(Z&lt;</t>
  </si>
  <si>
    <t>P(1&lt;X&lt;1,5) =P(X&lt;1,5) -P(X&lt;1) = P(Z&lt;</t>
  </si>
  <si>
    <t>d) Qual è la probabilità che in 5 giorni l'ammontare complessivo delle vendite sia inferiore a 0,8 mila euro almeno in due giorni?</t>
  </si>
  <si>
    <t>P(Z&gt;1) =</t>
  </si>
  <si>
    <t>L'ammontare medio delle vendite in 30 giorni si distribuisce normalmente con parametri</t>
  </si>
  <si>
    <t>P(Y&gt;3,2) = P(Z&gt;</t>
  </si>
  <si>
    <t>Un’indagine su un campione di 480 consumatori rivela che 98 di essi ricordano la pubblicità</t>
  </si>
  <si>
    <t>a) Costruire un intervallo di confidenza al 95% per la proporzione di consumatori che ricordano la pubblicità.</t>
  </si>
  <si>
    <t xml:space="preserve">per avere un intervallo di ampiezza non superiore a 0,05? </t>
  </si>
  <si>
    <t xml:space="preserve">c) Supponiamo che l’obiettivo dell’azienda produttrice fosse quello di ottenere una proporzione di ricordo della pubblicità superiore al 15%. </t>
  </si>
  <si>
    <t>Verificare con un test al livello di significatività 1% se tale obiettivo  può considerarsi raggiunto.</t>
  </si>
  <si>
    <t>I dati seguenti si riferiscono al costo in euro per notte di una stanza singola in 5 diversi alberghi di una determinata città.</t>
  </si>
  <si>
    <t>a) Si costruisca un intervallo di confidenza al 95% per il costo medio delle singole per tutti gli alberghi a tre stelle della città.</t>
  </si>
  <si>
    <t>b) Si verifichi l'ipotesi che il prezzo medio sia di 60 euro, contro l'alternativa che sia maggiore, al livello dell'1%.</t>
  </si>
  <si>
    <t>c) Cosa è la potenza di un test e come la si può aumentare lasciando invariato il livello del test?</t>
  </si>
  <si>
    <t>d) Si costruisca un intervallo di confidenza al 90% per la varianza del prezzo delle singole nella città.</t>
  </si>
  <si>
    <t>La potenza di un test è la probabilità di rifiutare un'ipotesi nulla falsa. Può essere aumentata aumentando la numerosità campionaria.</t>
  </si>
  <si>
    <t>Un negozio si rifornisce di un certo prodotto da due soli fornitori, A e B.</t>
  </si>
  <si>
    <t>a) Calcolare la probabilità di osservare un pezzo difettoso sul totale della fornitura.</t>
  </si>
  <si>
    <t>P(A) =</t>
  </si>
  <si>
    <t>P(B) =</t>
  </si>
  <si>
    <t>P(D|A) =</t>
  </si>
  <si>
    <t>P(D|B) =</t>
  </si>
  <si>
    <t>P(D) =</t>
  </si>
  <si>
    <t>X è una binomiale di parametri</t>
  </si>
  <si>
    <t>P(X=0) =</t>
  </si>
  <si>
    <t>Utilizziamo l'approssimazione della binomiale alla normale</t>
  </si>
  <si>
    <t>X si distribuisce approssimativamente come un normale di parametri</t>
  </si>
  <si>
    <t>B fornisce il 59% dei pezzi. Inoltre il 5% della fornitura di B risulta difettosa</t>
  </si>
  <si>
    <t xml:space="preserve">mentre solo il 2% della fornitura di A risulta difettosa. </t>
  </si>
  <si>
    <t>b) Calcolare la probabilità che avendo osservato un pezzo difettoso, questo provenga dal fornitore A.</t>
  </si>
  <si>
    <t>c) Calcolare la probabilità che estraendo a caso 10 pezzi dalla fornitura, nessuno risulti difettoso.</t>
  </si>
  <si>
    <t>d) Calcolare la probabilità che estraendo a caso 1000 pezzi dalla fornitura, al massimo 30 risultino difettosi.</t>
  </si>
  <si>
    <t>P(A|D) =</t>
  </si>
  <si>
    <t>P(X&lt;30) =</t>
  </si>
  <si>
    <t>Il numero di volte su 5 giorni in cui le vendite risultano inferiori a 0,8 mila euro è una v.a. binomiale di parametri</t>
  </si>
  <si>
    <t>P(Y&lt;0,8) =P(Z&lt;</t>
  </si>
  <si>
    <t>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</si>
</sst>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5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Symbol"/>
      <family val="1"/>
      <charset val="2"/>
    </font>
    <font>
      <sz val="12"/>
      <color indexed="8"/>
      <name val="Arial"/>
      <family val="2"/>
    </font>
    <font>
      <vertAlign val="subscript"/>
      <sz val="10"/>
      <name val="Symbol"/>
      <family val="1"/>
      <charset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/>
    <xf numFmtId="0" fontId="0" fillId="0" borderId="0" xfId="0" applyBorder="1"/>
    <xf numFmtId="0" fontId="5" fillId="0" borderId="0" xfId="0" applyFont="1" applyBorder="1"/>
    <xf numFmtId="0" fontId="7" fillId="0" borderId="0" xfId="0" applyFont="1"/>
    <xf numFmtId="0" fontId="0" fillId="0" borderId="0" xfId="0" quotePrefix="1"/>
    <xf numFmtId="1" fontId="0" fillId="0" borderId="0" xfId="0" applyNumberFormat="1"/>
    <xf numFmtId="0" fontId="6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0" xfId="0" applyFill="1" applyBorder="1"/>
    <xf numFmtId="0" fontId="9" fillId="0" borderId="0" xfId="0" applyFont="1"/>
    <xf numFmtId="164" fontId="0" fillId="0" borderId="0" xfId="0" applyNumberFormat="1" applyBorder="1"/>
    <xf numFmtId="0" fontId="4" fillId="0" borderId="0" xfId="0" quotePrefix="1" applyFont="1" applyBorder="1"/>
    <xf numFmtId="0" fontId="10" fillId="0" borderId="0" xfId="0" applyFont="1" applyBorder="1"/>
    <xf numFmtId="0" fontId="9" fillId="0" borderId="0" xfId="0" applyFont="1" applyBorder="1"/>
    <xf numFmtId="0" fontId="11" fillId="0" borderId="0" xfId="0" applyFont="1"/>
    <xf numFmtId="0" fontId="4" fillId="0" borderId="1" xfId="0" quotePrefix="1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0" xfId="0" applyFont="1"/>
    <xf numFmtId="0" fontId="3" fillId="0" borderId="0" xfId="0" applyFont="1" applyBorder="1"/>
    <xf numFmtId="164" fontId="0" fillId="0" borderId="0" xfId="0" applyNumberFormat="1"/>
    <xf numFmtId="0" fontId="3" fillId="0" borderId="0" xfId="0" applyFont="1" applyFill="1" applyBorder="1" applyAlignment="1">
      <alignment horizontal="left"/>
    </xf>
    <xf numFmtId="165" fontId="3" fillId="0" borderId="0" xfId="0" applyNumberFormat="1" applyFont="1" applyBorder="1"/>
    <xf numFmtId="0" fontId="14" fillId="0" borderId="0" xfId="0" applyFont="1" applyBorder="1"/>
    <xf numFmtId="0" fontId="3" fillId="0" borderId="0" xfId="0" quotePrefix="1" applyFont="1"/>
    <xf numFmtId="0" fontId="3" fillId="0" borderId="0" xfId="0" quotePrefix="1" applyFont="1" applyBorder="1"/>
    <xf numFmtId="0" fontId="4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quotePrefix="1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/>
    <xf numFmtId="164" fontId="9" fillId="0" borderId="0" xfId="0" applyNumberFormat="1" applyFont="1"/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Fill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quotePrefix="1" applyFont="1"/>
    <xf numFmtId="0" fontId="9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1" xfId="0" quotePrefix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Fill="1" applyBorder="1"/>
    <xf numFmtId="0" fontId="11" fillId="0" borderId="0" xfId="0" applyFont="1" applyFill="1" applyBorder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textRotation="90"/>
    </xf>
    <xf numFmtId="0" fontId="4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3" fillId="0" borderId="0" xfId="0" applyFont="1" applyBorder="1" applyAlignment="1">
      <alignment vertical="center" textRotation="90"/>
    </xf>
    <xf numFmtId="0" fontId="3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dispersione</a:t>
            </a:r>
          </a:p>
        </c:rich>
      </c:tx>
      <c:layout>
        <c:manualLayout>
          <c:xMode val="edge"/>
          <c:yMode val="edge"/>
          <c:x val="0.32372970327861555"/>
          <c:y val="3.29218106995884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93259053708589"/>
          <c:y val="0.18107059556958563"/>
          <c:w val="0.78813754999722763"/>
          <c:h val="0.637862325301949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Foglio2!$A$5:$A$10</c:f>
              <c:numCache>
                <c:formatCode>General</c:formatCode>
                <c:ptCount val="6"/>
                <c:pt idx="0">
                  <c:v>3.5</c:v>
                </c:pt>
                <c:pt idx="1">
                  <c:v>2.7</c:v>
                </c:pt>
                <c:pt idx="2">
                  <c:v>3.3</c:v>
                </c:pt>
                <c:pt idx="3">
                  <c:v>4.9000000000000004</c:v>
                </c:pt>
                <c:pt idx="4">
                  <c:v>2.1</c:v>
                </c:pt>
              </c:numCache>
            </c:numRef>
          </c:xVal>
          <c:yVal>
            <c:numRef>
              <c:f>Foglio2!$B$5:$B$10</c:f>
              <c:numCache>
                <c:formatCode>General</c:formatCode>
                <c:ptCount val="6"/>
                <c:pt idx="0">
                  <c:v>0.8</c:v>
                </c:pt>
                <c:pt idx="1">
                  <c:v>0.35</c:v>
                </c:pt>
                <c:pt idx="2">
                  <c:v>0.53</c:v>
                </c:pt>
                <c:pt idx="3">
                  <c:v>0.88</c:v>
                </c:pt>
                <c:pt idx="4">
                  <c:v>0.28999999999999998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E5-41B9-8EFD-F6ACE716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08735520"/>
        <c:axId val="-508738784"/>
      </c:scatterChart>
      <c:valAx>
        <c:axId val="-508735520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Reddito</a:t>
                </a:r>
              </a:p>
            </c:rich>
          </c:tx>
          <c:layout>
            <c:manualLayout>
              <c:xMode val="edge"/>
              <c:yMode val="edge"/>
              <c:x val="0.36101783887183592"/>
              <c:y val="0.901237808236933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508738784"/>
        <c:crosses val="autoZero"/>
        <c:crossBetween val="midCat"/>
      </c:valAx>
      <c:valAx>
        <c:axId val="-5087387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Spesa per consumi</a:t>
                </a:r>
              </a:p>
            </c:rich>
          </c:tx>
          <c:layout>
            <c:manualLayout>
              <c:xMode val="edge"/>
              <c:yMode val="edge"/>
              <c:x val="3.2203389830508473E-2"/>
              <c:y val="0.318931121264162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-5087355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</xdr:colOff>
      <xdr:row>21</xdr:row>
      <xdr:rowOff>30480</xdr:rowOff>
    </xdr:from>
    <xdr:to>
      <xdr:col>16</xdr:col>
      <xdr:colOff>541020</xdr:colOff>
      <xdr:row>36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B5AC33-462E-418C-A98E-174CF0DE8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opLeftCell="A31" zoomScale="150" zoomScaleNormal="150" workbookViewId="0">
      <selection activeCell="B12" sqref="B12"/>
    </sheetView>
  </sheetViews>
  <sheetFormatPr defaultColWidth="9.109375" defaultRowHeight="12.3" x14ac:dyDescent="0.4"/>
  <cols>
    <col min="1" max="1" width="17.88671875" style="4" customWidth="1"/>
    <col min="2" max="16384" width="9.109375" style="4"/>
  </cols>
  <sheetData>
    <row r="1" spans="1:6" x14ac:dyDescent="0.4">
      <c r="A1" s="3" t="s">
        <v>68</v>
      </c>
      <c r="B1" s="3"/>
      <c r="C1" s="3"/>
      <c r="D1" s="3"/>
      <c r="E1" s="3"/>
      <c r="F1" s="3"/>
    </row>
    <row r="2" spans="1:6" x14ac:dyDescent="0.4">
      <c r="A2" s="3" t="s">
        <v>13</v>
      </c>
      <c r="B2" s="3"/>
      <c r="C2" s="3"/>
      <c r="D2" s="3"/>
      <c r="E2" s="3"/>
      <c r="F2" s="3"/>
    </row>
    <row r="3" spans="1:6" x14ac:dyDescent="0.4">
      <c r="A3" s="3"/>
      <c r="B3" s="3"/>
      <c r="C3" s="3"/>
      <c r="D3" s="3"/>
      <c r="E3" s="3"/>
      <c r="F3" s="3"/>
    </row>
    <row r="4" spans="1:6" x14ac:dyDescent="0.4">
      <c r="A4" s="3"/>
      <c r="B4" s="3"/>
      <c r="C4" s="3"/>
      <c r="D4" s="3"/>
      <c r="E4" s="3"/>
      <c r="F4" s="3"/>
    </row>
    <row r="5" spans="1:6" x14ac:dyDescent="0.4">
      <c r="A5" s="3"/>
      <c r="B5" s="3"/>
      <c r="C5" s="65" t="s">
        <v>14</v>
      </c>
      <c r="D5" s="65"/>
      <c r="E5" s="65"/>
      <c r="F5" s="3"/>
    </row>
    <row r="6" spans="1:6" ht="12.75" customHeight="1" x14ac:dyDescent="0.4">
      <c r="A6" s="3"/>
      <c r="B6" s="3"/>
      <c r="C6" s="23" t="s">
        <v>69</v>
      </c>
      <c r="D6" s="19" t="s">
        <v>70</v>
      </c>
      <c r="E6" s="19" t="s">
        <v>71</v>
      </c>
      <c r="F6" s="11"/>
    </row>
    <row r="7" spans="1:6" ht="21.75" customHeight="1" x14ac:dyDescent="0.4">
      <c r="A7" s="68" t="s">
        <v>15</v>
      </c>
      <c r="B7" s="12" t="s">
        <v>16</v>
      </c>
      <c r="C7" s="13">
        <v>33</v>
      </c>
      <c r="D7" s="12">
        <v>9</v>
      </c>
      <c r="E7" s="12">
        <v>1</v>
      </c>
      <c r="F7" s="13">
        <f>SUM(C7:E7)</f>
        <v>43</v>
      </c>
    </row>
    <row r="8" spans="1:6" ht="16.5" customHeight="1" x14ac:dyDescent="0.4">
      <c r="A8" s="68"/>
      <c r="B8" s="10" t="s">
        <v>17</v>
      </c>
      <c r="C8" s="11">
        <v>6</v>
      </c>
      <c r="D8" s="10">
        <v>22</v>
      </c>
      <c r="E8" s="10">
        <v>3</v>
      </c>
      <c r="F8" s="13">
        <f>SUM(C8:E8)</f>
        <v>31</v>
      </c>
    </row>
    <row r="9" spans="1:6" ht="18.75" customHeight="1" x14ac:dyDescent="0.4">
      <c r="A9" s="68"/>
      <c r="B9" s="14" t="s">
        <v>18</v>
      </c>
      <c r="C9" s="15">
        <v>1</v>
      </c>
      <c r="D9" s="14">
        <v>5</v>
      </c>
      <c r="E9" s="24">
        <v>8</v>
      </c>
      <c r="F9" s="25">
        <f>SUM(C9:E9)</f>
        <v>14</v>
      </c>
    </row>
    <row r="10" spans="1:6" x14ac:dyDescent="0.4">
      <c r="A10" s="3"/>
      <c r="B10" s="3"/>
      <c r="C10" s="11">
        <f>SUM(C7:C9)</f>
        <v>40</v>
      </c>
      <c r="D10" s="11">
        <f>SUM(D7:D9)</f>
        <v>36</v>
      </c>
      <c r="E10" s="11">
        <f>SUM(E7:E9)</f>
        <v>12</v>
      </c>
      <c r="F10" s="11">
        <f>SUM(F7:F9)</f>
        <v>88</v>
      </c>
    </row>
    <row r="11" spans="1:6" x14ac:dyDescent="0.4">
      <c r="A11" s="3"/>
      <c r="B11" s="3"/>
      <c r="C11" s="3"/>
      <c r="D11" s="3"/>
      <c r="E11" s="3"/>
      <c r="F11" s="3"/>
    </row>
    <row r="12" spans="1:6" x14ac:dyDescent="0.4">
      <c r="A12" s="3" t="s">
        <v>72</v>
      </c>
      <c r="B12" s="3"/>
      <c r="C12" s="3"/>
      <c r="D12" s="3"/>
      <c r="E12" s="3"/>
      <c r="F12" s="3"/>
    </row>
    <row r="13" spans="1:6" x14ac:dyDescent="0.4">
      <c r="A13" s="3" t="s">
        <v>73</v>
      </c>
      <c r="B13" s="3"/>
      <c r="C13" s="3"/>
      <c r="D13" s="3"/>
      <c r="E13" s="3"/>
      <c r="F13" s="3"/>
    </row>
    <row r="14" spans="1:6" x14ac:dyDescent="0.4">
      <c r="A14" s="31" t="s">
        <v>74</v>
      </c>
    </row>
    <row r="15" spans="1:6" x14ac:dyDescent="0.4">
      <c r="A15" s="3" t="s">
        <v>75</v>
      </c>
      <c r="B15" s="3"/>
      <c r="C15" s="3"/>
      <c r="D15" s="3"/>
      <c r="E15" s="3"/>
      <c r="F15" s="3"/>
    </row>
    <row r="16" spans="1:6" x14ac:dyDescent="0.4">
      <c r="A16" s="3"/>
      <c r="B16" s="3"/>
      <c r="C16" s="3"/>
      <c r="D16" s="3"/>
      <c r="E16" s="3"/>
      <c r="F16" s="3"/>
    </row>
    <row r="17" spans="1:6" x14ac:dyDescent="0.4">
      <c r="A17" s="26"/>
      <c r="B17" s="26"/>
      <c r="C17" s="69" t="s">
        <v>14</v>
      </c>
      <c r="D17" s="69"/>
      <c r="E17" s="69"/>
      <c r="F17" s="26"/>
    </row>
    <row r="18" spans="1:6" x14ac:dyDescent="0.4">
      <c r="A18" s="26"/>
      <c r="B18" s="26"/>
      <c r="C18" s="55" t="s">
        <v>69</v>
      </c>
      <c r="D18" s="33" t="s">
        <v>70</v>
      </c>
      <c r="E18" s="33" t="s">
        <v>71</v>
      </c>
      <c r="F18" s="56"/>
    </row>
    <row r="19" spans="1:6" x14ac:dyDescent="0.4">
      <c r="A19" s="70" t="s">
        <v>15</v>
      </c>
      <c r="B19" s="57" t="s">
        <v>16</v>
      </c>
      <c r="C19" s="58">
        <f>C7/$F7</f>
        <v>0.76744186046511631</v>
      </c>
      <c r="D19" s="58">
        <f t="shared" ref="D19:E19" si="0">D7/$F7</f>
        <v>0.20930232558139536</v>
      </c>
      <c r="E19" s="58">
        <f t="shared" si="0"/>
        <v>2.3255813953488372E-2</v>
      </c>
      <c r="F19" s="58">
        <f>SUM(C19:E19)</f>
        <v>1</v>
      </c>
    </row>
    <row r="20" spans="1:6" x14ac:dyDescent="0.4">
      <c r="A20" s="70"/>
      <c r="B20" s="27" t="s">
        <v>17</v>
      </c>
      <c r="C20" s="58">
        <f>C8/$F8</f>
        <v>0.19354838709677419</v>
      </c>
      <c r="D20" s="58">
        <f t="shared" ref="C20:E20" si="1">D8/$F8</f>
        <v>0.70967741935483875</v>
      </c>
      <c r="E20" s="58">
        <f t="shared" si="1"/>
        <v>9.6774193548387094E-2</v>
      </c>
      <c r="F20" s="58">
        <f>SUM(C20:E20)</f>
        <v>1</v>
      </c>
    </row>
    <row r="21" spans="1:6" x14ac:dyDescent="0.4">
      <c r="A21" s="70"/>
      <c r="B21" s="59" t="s">
        <v>18</v>
      </c>
      <c r="C21" s="58">
        <f t="shared" ref="C21:E22" si="2">C9/$F9</f>
        <v>7.1428571428571425E-2</v>
      </c>
      <c r="D21" s="58">
        <f t="shared" si="2"/>
        <v>0.35714285714285715</v>
      </c>
      <c r="E21" s="58">
        <f t="shared" si="2"/>
        <v>0.5714285714285714</v>
      </c>
      <c r="F21" s="60">
        <f>SUM(C21:E21)</f>
        <v>1</v>
      </c>
    </row>
    <row r="22" spans="1:6" x14ac:dyDescent="0.4">
      <c r="A22" s="26"/>
      <c r="B22" s="26"/>
      <c r="C22" s="58">
        <f>C10/$F10</f>
        <v>0.45454545454545453</v>
      </c>
      <c r="D22" s="58">
        <f t="shared" si="2"/>
        <v>0.40909090909090912</v>
      </c>
      <c r="E22" s="58">
        <f t="shared" si="2"/>
        <v>0.13636363636363635</v>
      </c>
      <c r="F22" s="56">
        <f>SUM(C22:E22)</f>
        <v>1</v>
      </c>
    </row>
    <row r="23" spans="1:6" x14ac:dyDescent="0.4">
      <c r="A23"/>
      <c r="B23"/>
      <c r="C23"/>
      <c r="D23"/>
      <c r="E23"/>
      <c r="F23" s="3"/>
    </row>
    <row r="24" spans="1:6" x14ac:dyDescent="0.4">
      <c r="A24" s="26" t="s">
        <v>76</v>
      </c>
      <c r="B24"/>
      <c r="C24"/>
      <c r="D24"/>
      <c r="E24"/>
      <c r="F24" s="3"/>
    </row>
    <row r="25" spans="1:6" x14ac:dyDescent="0.4">
      <c r="A25"/>
      <c r="B25"/>
      <c r="C25"/>
      <c r="D25"/>
      <c r="E25"/>
      <c r="F25" s="3"/>
    </row>
    <row r="26" spans="1:6" x14ac:dyDescent="0.4">
      <c r="A26" s="26"/>
      <c r="B26" s="26"/>
      <c r="C26" s="69" t="s">
        <v>14</v>
      </c>
      <c r="D26" s="69"/>
      <c r="E26" s="69"/>
      <c r="F26" s="26"/>
    </row>
    <row r="27" spans="1:6" x14ac:dyDescent="0.4">
      <c r="A27" s="26"/>
      <c r="B27" s="26"/>
      <c r="C27" s="55" t="s">
        <v>69</v>
      </c>
      <c r="D27" s="33" t="s">
        <v>70</v>
      </c>
      <c r="E27" s="33" t="s">
        <v>71</v>
      </c>
      <c r="F27" s="56"/>
    </row>
    <row r="28" spans="1:6" x14ac:dyDescent="0.4">
      <c r="A28" s="70" t="s">
        <v>15</v>
      </c>
      <c r="B28" s="57" t="s">
        <v>16</v>
      </c>
      <c r="C28" s="58">
        <f>$F7*C$10/$F$10</f>
        <v>19.545454545454547</v>
      </c>
      <c r="D28" s="58">
        <f t="shared" ref="D28:E28" si="3">$F7*D$10/$F$10</f>
        <v>17.59090909090909</v>
      </c>
      <c r="E28" s="58">
        <f t="shared" si="3"/>
        <v>5.8636363636363633</v>
      </c>
      <c r="F28" s="58">
        <f>SUM(C28:E28)</f>
        <v>43</v>
      </c>
    </row>
    <row r="29" spans="1:6" x14ac:dyDescent="0.4">
      <c r="A29" s="70"/>
      <c r="B29" s="27" t="s">
        <v>17</v>
      </c>
      <c r="C29" s="58">
        <f t="shared" ref="C29:E29" si="4">$F8*C$10/$F$10</f>
        <v>14.090909090909092</v>
      </c>
      <c r="D29" s="58">
        <f t="shared" si="4"/>
        <v>12.681818181818182</v>
      </c>
      <c r="E29" s="58">
        <f t="shared" si="4"/>
        <v>4.2272727272727275</v>
      </c>
      <c r="F29" s="58">
        <f>SUM(C29:E29)</f>
        <v>31</v>
      </c>
    </row>
    <row r="30" spans="1:6" x14ac:dyDescent="0.4">
      <c r="A30" s="70"/>
      <c r="B30" s="59" t="s">
        <v>18</v>
      </c>
      <c r="C30" s="58">
        <f t="shared" ref="C30:E30" si="5">$F9*C$10/$F$10</f>
        <v>6.3636363636363633</v>
      </c>
      <c r="D30" s="58">
        <f t="shared" si="5"/>
        <v>5.7272727272727275</v>
      </c>
      <c r="E30" s="58">
        <f t="shared" si="5"/>
        <v>1.9090909090909092</v>
      </c>
      <c r="F30" s="60">
        <f>SUM(C30:E30)</f>
        <v>14</v>
      </c>
    </row>
    <row r="31" spans="1:6" x14ac:dyDescent="0.4">
      <c r="A31" s="26"/>
      <c r="B31" s="26"/>
      <c r="C31" s="56">
        <f>SUM(C28:C30)</f>
        <v>40</v>
      </c>
      <c r="D31" s="56">
        <f>SUM(D28:D30)</f>
        <v>36</v>
      </c>
      <c r="E31" s="56">
        <f>SUM(E28:E30)</f>
        <v>12</v>
      </c>
      <c r="F31" s="56">
        <f>SUM(F28:F30)</f>
        <v>88</v>
      </c>
    </row>
    <row r="32" spans="1:6" x14ac:dyDescent="0.4">
      <c r="A32"/>
      <c r="B32"/>
      <c r="C32"/>
      <c r="D32"/>
      <c r="E32"/>
      <c r="F32" s="3"/>
    </row>
    <row r="33" spans="1:8" x14ac:dyDescent="0.4">
      <c r="A33"/>
      <c r="B33"/>
      <c r="C33"/>
      <c r="D33"/>
      <c r="E33"/>
      <c r="F33" s="3"/>
    </row>
    <row r="34" spans="1:8" x14ac:dyDescent="0.4">
      <c r="A34" s="26"/>
      <c r="B34" s="26"/>
      <c r="C34" s="69" t="s">
        <v>14</v>
      </c>
      <c r="D34" s="69"/>
      <c r="E34" s="69"/>
      <c r="F34" s="26"/>
    </row>
    <row r="35" spans="1:8" x14ac:dyDescent="0.4">
      <c r="A35" s="26"/>
      <c r="B35" s="26"/>
      <c r="C35" s="55" t="s">
        <v>69</v>
      </c>
      <c r="D35" s="33" t="s">
        <v>70</v>
      </c>
      <c r="E35" s="33" t="s">
        <v>71</v>
      </c>
      <c r="F35" s="56"/>
    </row>
    <row r="36" spans="1:8" x14ac:dyDescent="0.4">
      <c r="A36" s="70" t="s">
        <v>15</v>
      </c>
      <c r="B36" s="57" t="s">
        <v>16</v>
      </c>
      <c r="C36" s="58">
        <f>(C7-C28)^2/C28</f>
        <v>9.2617336152219849</v>
      </c>
      <c r="D36" s="58">
        <f t="shared" ref="D36:E36" si="6">(D7-D28)^2/D28</f>
        <v>4.1955602536997878</v>
      </c>
      <c r="E36" s="58">
        <f t="shared" si="6"/>
        <v>4.0341789992952783</v>
      </c>
      <c r="F36" s="58">
        <f>SUM(C36:E36)</f>
        <v>17.491472868217052</v>
      </c>
    </row>
    <row r="37" spans="1:8" ht="15" x14ac:dyDescent="0.5">
      <c r="A37" s="70"/>
      <c r="B37" s="27" t="s">
        <v>17</v>
      </c>
      <c r="C37" s="58">
        <f t="shared" ref="C37:E37" si="7">(C8-C29)^2/C29</f>
        <v>4.6457478005865109</v>
      </c>
      <c r="D37" s="58">
        <f t="shared" si="7"/>
        <v>6.8466927337895083</v>
      </c>
      <c r="E37" s="58">
        <f t="shared" si="7"/>
        <v>0.35630498533724353</v>
      </c>
      <c r="F37" s="58">
        <f>SUM(C37:E37)</f>
        <v>11.848745519713262</v>
      </c>
      <c r="G37" s="2"/>
      <c r="H37" s="2"/>
    </row>
    <row r="38" spans="1:8" x14ac:dyDescent="0.4">
      <c r="A38" s="70"/>
      <c r="B38" s="59" t="s">
        <v>18</v>
      </c>
      <c r="C38" s="58">
        <f t="shared" ref="C38:E38" si="8">(C9-C30)^2/C30</f>
        <v>4.5207792207792208</v>
      </c>
      <c r="D38" s="58">
        <f t="shared" si="8"/>
        <v>9.2352092352092408E-2</v>
      </c>
      <c r="E38" s="58">
        <f t="shared" si="8"/>
        <v>19.432900432900432</v>
      </c>
      <c r="F38" s="60">
        <f>SUM(C38:E38)</f>
        <v>24.046031746031744</v>
      </c>
    </row>
    <row r="39" spans="1:8" ht="15" x14ac:dyDescent="0.5">
      <c r="A39" s="26"/>
      <c r="B39" s="26"/>
      <c r="C39" s="56">
        <f>SUM(C36:C38)</f>
        <v>18.428260636587716</v>
      </c>
      <c r="D39" s="56">
        <f>SUM(D36:D38)</f>
        <v>11.134605079841387</v>
      </c>
      <c r="E39" s="56">
        <f>SUM(E36:E38)</f>
        <v>23.823384417532953</v>
      </c>
      <c r="F39" s="56">
        <f>SUM(F36:F38)</f>
        <v>53.386250133962058</v>
      </c>
      <c r="G39" s="2"/>
      <c r="H39" s="2"/>
    </row>
    <row r="41" spans="1:8" x14ac:dyDescent="0.4">
      <c r="A41" s="9"/>
      <c r="B41" s="9"/>
      <c r="C41" s="66"/>
      <c r="D41" s="66"/>
      <c r="E41" s="66"/>
    </row>
    <row r="42" spans="1:8" x14ac:dyDescent="0.4">
      <c r="A42" s="27" t="s">
        <v>77</v>
      </c>
      <c r="B42" s="9">
        <f>F39</f>
        <v>53.386250133962058</v>
      </c>
      <c r="C42" s="9"/>
      <c r="D42" s="9"/>
      <c r="E42" s="9"/>
    </row>
    <row r="43" spans="1:8" ht="12.75" customHeight="1" x14ac:dyDescent="0.4">
      <c r="A43" s="61" t="s">
        <v>78</v>
      </c>
      <c r="B43" s="9">
        <f>SQRT(B42/F31/2)</f>
        <v>0.5507549061699214</v>
      </c>
      <c r="C43" s="9"/>
      <c r="D43" s="27" t="s">
        <v>79</v>
      </c>
      <c r="E43" s="9"/>
    </row>
    <row r="44" spans="1:8" x14ac:dyDescent="0.4">
      <c r="A44" s="62"/>
      <c r="B44" s="9"/>
      <c r="C44" s="9"/>
      <c r="D44" s="9"/>
      <c r="E44" s="9"/>
    </row>
    <row r="45" spans="1:8" x14ac:dyDescent="0.4">
      <c r="A45" s="27" t="s">
        <v>80</v>
      </c>
    </row>
    <row r="46" spans="1:8" x14ac:dyDescent="0.4">
      <c r="A46" s="9"/>
    </row>
    <row r="51" spans="1:5" x14ac:dyDescent="0.4">
      <c r="A51" s="9"/>
      <c r="B51" s="9"/>
      <c r="C51" s="66"/>
      <c r="D51" s="66"/>
      <c r="E51" s="66"/>
    </row>
    <row r="52" spans="1:5" x14ac:dyDescent="0.4">
      <c r="A52" s="9"/>
      <c r="B52" s="9"/>
      <c r="C52" s="9"/>
      <c r="D52" s="9"/>
      <c r="E52" s="9"/>
    </row>
    <row r="53" spans="1:5" ht="12.75" customHeight="1" x14ac:dyDescent="0.4">
      <c r="A53" s="67"/>
      <c r="B53" s="9"/>
      <c r="C53" s="9"/>
      <c r="D53" s="9"/>
      <c r="E53" s="9"/>
    </row>
    <row r="54" spans="1:5" x14ac:dyDescent="0.4">
      <c r="A54" s="67"/>
      <c r="B54" s="9"/>
      <c r="C54" s="9"/>
      <c r="D54" s="9"/>
      <c r="E54" s="9"/>
    </row>
    <row r="55" spans="1:5" x14ac:dyDescent="0.4">
      <c r="A55" s="9"/>
    </row>
  </sheetData>
  <mergeCells count="11">
    <mergeCell ref="C5:E5"/>
    <mergeCell ref="C51:E51"/>
    <mergeCell ref="A53:A54"/>
    <mergeCell ref="A7:A9"/>
    <mergeCell ref="C41:E41"/>
    <mergeCell ref="C17:E17"/>
    <mergeCell ref="A19:A21"/>
    <mergeCell ref="C26:E26"/>
    <mergeCell ref="A28:A30"/>
    <mergeCell ref="C34:E34"/>
    <mergeCell ref="A36:A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opLeftCell="A21" zoomScale="150" zoomScaleNormal="150" workbookViewId="0">
      <selection activeCell="G40" sqref="G40"/>
    </sheetView>
  </sheetViews>
  <sheetFormatPr defaultRowHeight="12.3" x14ac:dyDescent="0.4"/>
  <cols>
    <col min="1" max="1" width="14.1640625" customWidth="1"/>
    <col min="2" max="2" width="14.71875" customWidth="1"/>
    <col min="3" max="3" width="6.71875" customWidth="1"/>
    <col min="4" max="4" width="7.1640625" customWidth="1"/>
    <col min="5" max="5" width="14.71875" customWidth="1"/>
    <col min="6" max="6" width="8.83203125" customWidth="1"/>
    <col min="7" max="7" width="12.1640625" customWidth="1"/>
    <col min="8" max="8" width="7.27734375" customWidth="1"/>
    <col min="9" max="9" width="6.5546875" customWidth="1"/>
    <col min="10" max="10" width="14.27734375" customWidth="1"/>
    <col min="11" max="11" width="4.83203125" customWidth="1"/>
    <col min="12" max="12" width="6.44140625" customWidth="1"/>
    <col min="13" max="13" width="5.5546875" customWidth="1"/>
    <col min="14" max="14" width="7.44140625" customWidth="1"/>
  </cols>
  <sheetData>
    <row r="1" spans="1:14" x14ac:dyDescent="0.4">
      <c r="A1" s="3" t="s">
        <v>81</v>
      </c>
    </row>
    <row r="2" spans="1:14" x14ac:dyDescent="0.4">
      <c r="A2" s="3" t="s">
        <v>38</v>
      </c>
    </row>
    <row r="3" spans="1:14" x14ac:dyDescent="0.4">
      <c r="A3" s="3"/>
    </row>
    <row r="4" spans="1:14" s="43" customFormat="1" ht="39" customHeight="1" x14ac:dyDescent="0.4">
      <c r="A4" s="42" t="s">
        <v>40</v>
      </c>
      <c r="B4" s="42" t="s">
        <v>39</v>
      </c>
    </row>
    <row r="5" spans="1:14" x14ac:dyDescent="0.4">
      <c r="A5" s="44">
        <v>3.5</v>
      </c>
      <c r="B5" s="3">
        <v>0.8</v>
      </c>
      <c r="D5" s="17"/>
      <c r="E5" s="17"/>
      <c r="G5" s="42" t="s">
        <v>40</v>
      </c>
      <c r="H5" s="44">
        <v>3.5</v>
      </c>
      <c r="I5" s="44">
        <v>2.7</v>
      </c>
      <c r="J5" s="44">
        <v>3.3</v>
      </c>
      <c r="K5" s="44">
        <v>4.9000000000000004</v>
      </c>
      <c r="L5" s="44">
        <v>2.1</v>
      </c>
      <c r="M5" s="44"/>
      <c r="N5" s="3">
        <f>SUM(H5:M5)</f>
        <v>16.5</v>
      </c>
    </row>
    <row r="6" spans="1:14" ht="24.6" x14ac:dyDescent="0.4">
      <c r="A6" s="44">
        <v>2.7</v>
      </c>
      <c r="B6" s="3">
        <v>0.35</v>
      </c>
      <c r="D6" s="17"/>
      <c r="E6" s="17"/>
      <c r="G6" s="42" t="s">
        <v>39</v>
      </c>
      <c r="H6" s="3">
        <v>0.8</v>
      </c>
      <c r="I6" s="3">
        <v>0.35</v>
      </c>
      <c r="J6" s="3">
        <v>0.53</v>
      </c>
      <c r="K6" s="3">
        <v>0.88</v>
      </c>
      <c r="L6" s="3">
        <v>0.28999999999999998</v>
      </c>
      <c r="M6" s="3"/>
      <c r="N6" s="3">
        <f>SUM(H6:M6)</f>
        <v>2.85</v>
      </c>
    </row>
    <row r="7" spans="1:14" x14ac:dyDescent="0.4">
      <c r="A7" s="44">
        <v>3.3</v>
      </c>
      <c r="B7" s="3">
        <v>0.53</v>
      </c>
      <c r="D7" s="17"/>
      <c r="E7" s="17"/>
      <c r="G7" s="28"/>
    </row>
    <row r="8" spans="1:14" x14ac:dyDescent="0.4">
      <c r="A8" s="44">
        <v>4.9000000000000004</v>
      </c>
      <c r="B8" s="3">
        <v>0.88</v>
      </c>
      <c r="D8" s="17"/>
      <c r="E8" s="17"/>
      <c r="G8" s="28"/>
    </row>
    <row r="9" spans="1:14" x14ac:dyDescent="0.4">
      <c r="A9" s="44">
        <v>2.1</v>
      </c>
      <c r="B9" s="3">
        <v>0.28999999999999998</v>
      </c>
      <c r="D9" s="17"/>
      <c r="E9" s="17"/>
      <c r="G9" s="28"/>
    </row>
    <row r="10" spans="1:14" x14ac:dyDescent="0.4">
      <c r="A10" s="44"/>
      <c r="B10" s="3"/>
      <c r="D10" s="17"/>
      <c r="E10" s="17"/>
      <c r="G10" s="28"/>
    </row>
    <row r="11" spans="1:14" x14ac:dyDescent="0.4">
      <c r="A11" s="3">
        <f>SUM(A5:A10)</f>
        <v>16.5</v>
      </c>
      <c r="B11" s="3">
        <f>SUM(B5:B10)</f>
        <v>2.85</v>
      </c>
      <c r="D11" s="17"/>
      <c r="E11" s="17"/>
      <c r="G11" s="28"/>
      <c r="H11" s="26"/>
      <c r="I11" s="26"/>
      <c r="J11" s="26"/>
      <c r="K11" s="26"/>
      <c r="L11" s="26"/>
    </row>
    <row r="12" spans="1:14" x14ac:dyDescent="0.4">
      <c r="A12" s="3" t="s">
        <v>41</v>
      </c>
      <c r="B12" s="3"/>
      <c r="C12" s="17"/>
      <c r="D12" s="17"/>
      <c r="E12" s="17"/>
      <c r="G12" s="28"/>
      <c r="H12" s="26"/>
      <c r="I12" s="26"/>
      <c r="J12" s="26"/>
      <c r="K12" s="26"/>
      <c r="L12" s="26"/>
    </row>
    <row r="13" spans="1:14" x14ac:dyDescent="0.4">
      <c r="A13" s="3" t="s">
        <v>42</v>
      </c>
      <c r="C13" s="17"/>
      <c r="D13" s="17"/>
      <c r="E13" s="17"/>
      <c r="F13" s="17"/>
      <c r="G13" s="45"/>
      <c r="H13" s="26"/>
      <c r="J13" s="26"/>
      <c r="L13" s="26"/>
    </row>
    <row r="14" spans="1:14" x14ac:dyDescent="0.4">
      <c r="A14" s="46" t="s">
        <v>43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4" x14ac:dyDescent="0.4">
      <c r="A15" s="3" t="s">
        <v>82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4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5" x14ac:dyDescent="0.4">
      <c r="A17" s="35" t="s">
        <v>1</v>
      </c>
    </row>
    <row r="19" spans="1:15" x14ac:dyDescent="0.4">
      <c r="A19" s="47" t="s">
        <v>44</v>
      </c>
      <c r="B19" s="47" t="s">
        <v>45</v>
      </c>
      <c r="C19" t="s">
        <v>46</v>
      </c>
      <c r="D19" t="s">
        <v>47</v>
      </c>
      <c r="E19" t="s">
        <v>48</v>
      </c>
      <c r="F19" t="s">
        <v>49</v>
      </c>
      <c r="G19" t="s">
        <v>50</v>
      </c>
    </row>
    <row r="20" spans="1:15" x14ac:dyDescent="0.4">
      <c r="A20" s="26">
        <f>A5</f>
        <v>3.5</v>
      </c>
      <c r="B20" s="48">
        <f>B5</f>
        <v>0.8</v>
      </c>
      <c r="C20">
        <f t="shared" ref="C20:C24" si="0">A20-B$29</f>
        <v>0.20000000000000018</v>
      </c>
      <c r="D20">
        <f t="shared" ref="D20:D24" si="1">B20-B$30</f>
        <v>0.22999999999999998</v>
      </c>
      <c r="E20">
        <f t="shared" ref="E20:F24" si="2">C20^2</f>
        <v>4.000000000000007E-2</v>
      </c>
      <c r="F20">
        <f t="shared" si="2"/>
        <v>5.2899999999999989E-2</v>
      </c>
      <c r="G20">
        <f t="shared" ref="G20:G24" si="3">C20*D20</f>
        <v>4.6000000000000034E-2</v>
      </c>
    </row>
    <row r="21" spans="1:15" x14ac:dyDescent="0.4">
      <c r="A21" s="26">
        <f>A6</f>
        <v>2.7</v>
      </c>
      <c r="B21" s="48">
        <f t="shared" ref="B21:B24" si="4">B6</f>
        <v>0.35</v>
      </c>
      <c r="C21">
        <f t="shared" si="0"/>
        <v>-0.59999999999999964</v>
      </c>
      <c r="D21">
        <f t="shared" si="1"/>
        <v>-0.22000000000000008</v>
      </c>
      <c r="E21">
        <f t="shared" si="2"/>
        <v>0.3599999999999996</v>
      </c>
      <c r="F21">
        <f t="shared" si="2"/>
        <v>4.840000000000004E-2</v>
      </c>
      <c r="G21">
        <f t="shared" si="3"/>
        <v>0.13199999999999998</v>
      </c>
      <c r="O21" s="7"/>
    </row>
    <row r="22" spans="1:15" x14ac:dyDescent="0.4">
      <c r="A22" s="26">
        <f>A7</f>
        <v>3.3</v>
      </c>
      <c r="B22" s="48">
        <f t="shared" si="4"/>
        <v>0.53</v>
      </c>
      <c r="C22">
        <f t="shared" si="0"/>
        <v>0</v>
      </c>
      <c r="D22">
        <f t="shared" si="1"/>
        <v>-4.0000000000000036E-2</v>
      </c>
      <c r="E22">
        <f t="shared" si="2"/>
        <v>0</v>
      </c>
      <c r="F22">
        <f t="shared" si="2"/>
        <v>1.6000000000000029E-3</v>
      </c>
      <c r="G22">
        <f t="shared" si="3"/>
        <v>0</v>
      </c>
    </row>
    <row r="23" spans="1:15" x14ac:dyDescent="0.4">
      <c r="A23" s="26">
        <f>A8</f>
        <v>4.9000000000000004</v>
      </c>
      <c r="B23" s="48">
        <f t="shared" si="4"/>
        <v>0.88</v>
      </c>
      <c r="C23">
        <f t="shared" si="0"/>
        <v>1.6000000000000005</v>
      </c>
      <c r="D23">
        <f t="shared" si="1"/>
        <v>0.30999999999999994</v>
      </c>
      <c r="E23">
        <f t="shared" si="2"/>
        <v>2.5600000000000018</v>
      </c>
      <c r="F23">
        <f t="shared" si="2"/>
        <v>9.6099999999999963E-2</v>
      </c>
      <c r="G23">
        <f t="shared" si="3"/>
        <v>0.49600000000000005</v>
      </c>
    </row>
    <row r="24" spans="1:15" x14ac:dyDescent="0.4">
      <c r="A24" s="26">
        <f>A9</f>
        <v>2.1</v>
      </c>
      <c r="B24" s="48">
        <f t="shared" si="4"/>
        <v>0.28999999999999998</v>
      </c>
      <c r="C24">
        <f t="shared" si="0"/>
        <v>-1.1999999999999997</v>
      </c>
      <c r="D24">
        <f t="shared" si="1"/>
        <v>-0.28000000000000008</v>
      </c>
      <c r="E24">
        <f t="shared" si="2"/>
        <v>1.4399999999999993</v>
      </c>
      <c r="F24">
        <f t="shared" si="2"/>
        <v>7.8400000000000039E-2</v>
      </c>
      <c r="G24">
        <f t="shared" si="3"/>
        <v>0.33600000000000002</v>
      </c>
    </row>
    <row r="25" spans="1:15" x14ac:dyDescent="0.4">
      <c r="A25" s="26"/>
      <c r="B25" s="48"/>
    </row>
    <row r="26" spans="1:15" x14ac:dyDescent="0.4">
      <c r="A26" s="26">
        <f>SUM(A20:A25)</f>
        <v>16.5</v>
      </c>
      <c r="B26" s="26">
        <f>SUM(B20:B25)</f>
        <v>2.85</v>
      </c>
      <c r="C26" s="26">
        <f t="shared" ref="C26:G26" si="5">SUM(C20:C25)</f>
        <v>0</v>
      </c>
      <c r="D26" s="26">
        <f t="shared" si="5"/>
        <v>0</v>
      </c>
      <c r="E26" s="26">
        <f t="shared" si="5"/>
        <v>4.4000000000000012</v>
      </c>
      <c r="F26" s="26">
        <f t="shared" si="5"/>
        <v>0.27740000000000004</v>
      </c>
      <c r="G26" s="26">
        <f t="shared" si="5"/>
        <v>1.01</v>
      </c>
    </row>
    <row r="29" spans="1:15" x14ac:dyDescent="0.4">
      <c r="A29" t="s">
        <v>51</v>
      </c>
      <c r="B29">
        <f>AVERAGE(A20:A24)</f>
        <v>3.3</v>
      </c>
    </row>
    <row r="30" spans="1:15" x14ac:dyDescent="0.4">
      <c r="A30" t="s">
        <v>52</v>
      </c>
      <c r="B30">
        <f>AVERAGE(B20:B24)</f>
        <v>0.57000000000000006</v>
      </c>
    </row>
    <row r="32" spans="1:15" x14ac:dyDescent="0.4">
      <c r="A32" t="s">
        <v>53</v>
      </c>
      <c r="B32">
        <f>B30-B33*B29</f>
        <v>-0.18749999999999967</v>
      </c>
    </row>
    <row r="33" spans="1:8" x14ac:dyDescent="0.4">
      <c r="A33" t="s">
        <v>54</v>
      </c>
      <c r="B33">
        <f>G26/E26</f>
        <v>0.22954545454545447</v>
      </c>
    </row>
    <row r="34" spans="1:8" x14ac:dyDescent="0.4">
      <c r="A34" s="26" t="s">
        <v>83</v>
      </c>
    </row>
    <row r="36" spans="1:8" x14ac:dyDescent="0.4">
      <c r="A36" t="s">
        <v>4</v>
      </c>
    </row>
    <row r="37" spans="1:8" x14ac:dyDescent="0.4">
      <c r="A37" t="s">
        <v>55</v>
      </c>
      <c r="B37">
        <f>G26^2/F26/E26</f>
        <v>0.8357639116471125</v>
      </c>
      <c r="D37" s="26" t="s">
        <v>84</v>
      </c>
    </row>
    <row r="39" spans="1:8" x14ac:dyDescent="0.4">
      <c r="A39" t="s">
        <v>56</v>
      </c>
    </row>
    <row r="40" spans="1:8" x14ac:dyDescent="0.4">
      <c r="A40" s="26" t="s">
        <v>85</v>
      </c>
      <c r="G40">
        <f>(2.8*B33+B32)*1000</f>
        <v>455.2272727272728</v>
      </c>
      <c r="H40" t="s">
        <v>57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topLeftCell="A22" zoomScale="150" zoomScaleNormal="150" workbookViewId="0">
      <selection activeCell="B41" sqref="B41"/>
    </sheetView>
  </sheetViews>
  <sheetFormatPr defaultColWidth="9.1640625" defaultRowHeight="12.3" x14ac:dyDescent="0.4"/>
  <cols>
    <col min="1" max="1" width="17.83203125" style="4" customWidth="1"/>
    <col min="2" max="2" width="11.83203125" style="4" customWidth="1"/>
    <col min="3" max="3" width="12.27734375" style="4" bestFit="1" customWidth="1"/>
    <col min="4" max="5" width="9.1640625" style="4"/>
    <col min="6" max="6" width="11.5546875" style="4" customWidth="1"/>
    <col min="7" max="8" width="9.1640625" style="4"/>
    <col min="9" max="9" width="9.27734375" style="4" bestFit="1" customWidth="1"/>
    <col min="10" max="16384" width="9.1640625" style="4"/>
  </cols>
  <sheetData>
    <row r="1" spans="1:12" x14ac:dyDescent="0.4">
      <c r="A1" s="3" t="s">
        <v>35</v>
      </c>
      <c r="B1" s="3"/>
      <c r="C1" s="3"/>
      <c r="D1" s="3"/>
      <c r="E1" s="3"/>
      <c r="F1" s="3"/>
      <c r="G1" s="3"/>
      <c r="H1" s="3"/>
      <c r="I1" s="3"/>
    </row>
    <row r="2" spans="1:12" x14ac:dyDescent="0.4">
      <c r="A2" s="3" t="s">
        <v>86</v>
      </c>
      <c r="B2" s="3"/>
      <c r="C2" s="3"/>
      <c r="D2" s="3"/>
      <c r="E2" s="3"/>
      <c r="F2" s="3"/>
      <c r="G2" s="3"/>
      <c r="H2" s="3"/>
      <c r="I2" s="3"/>
    </row>
    <row r="3" spans="1:12" x14ac:dyDescent="0.4">
      <c r="A3" s="3" t="s">
        <v>36</v>
      </c>
      <c r="B3" s="3"/>
      <c r="C3" s="3"/>
      <c r="D3" s="3"/>
      <c r="E3" s="3"/>
      <c r="F3" s="3"/>
      <c r="G3" s="3"/>
      <c r="H3" s="3"/>
      <c r="I3" s="3"/>
    </row>
    <row r="4" spans="1:12" x14ac:dyDescent="0.4">
      <c r="A4" s="3" t="s">
        <v>87</v>
      </c>
      <c r="B4" s="3"/>
      <c r="C4" s="3"/>
      <c r="D4" s="3"/>
      <c r="E4" s="3"/>
      <c r="F4" s="3"/>
      <c r="G4" s="3"/>
      <c r="H4" s="3"/>
      <c r="I4" s="3"/>
    </row>
    <row r="5" spans="1:12" x14ac:dyDescent="0.4">
      <c r="A5" s="3" t="s">
        <v>88</v>
      </c>
      <c r="B5" s="3"/>
      <c r="C5" s="34"/>
      <c r="D5" s="34"/>
      <c r="E5" s="34"/>
      <c r="F5" s="38"/>
      <c r="G5" s="38"/>
      <c r="H5" s="38"/>
      <c r="I5" s="3"/>
    </row>
    <row r="6" spans="1:12" ht="16.5" customHeight="1" x14ac:dyDescent="0.4">
      <c r="A6" s="39" t="s">
        <v>89</v>
      </c>
      <c r="B6" s="10"/>
      <c r="C6" s="10"/>
      <c r="D6" s="10"/>
      <c r="E6" s="10"/>
      <c r="F6" s="10"/>
      <c r="G6" s="10"/>
      <c r="H6" s="10"/>
      <c r="I6" s="10"/>
    </row>
    <row r="7" spans="1:12" ht="18.75" customHeight="1" x14ac:dyDescent="0.4">
      <c r="A7" s="39" t="s">
        <v>92</v>
      </c>
      <c r="B7" s="10"/>
      <c r="C7" s="10"/>
      <c r="D7" s="10"/>
      <c r="E7" s="10"/>
      <c r="F7" s="10"/>
      <c r="G7" s="10"/>
      <c r="H7" s="10"/>
      <c r="I7" s="10"/>
    </row>
    <row r="8" spans="1:12" x14ac:dyDescent="0.4">
      <c r="A8" s="3"/>
      <c r="B8" s="10"/>
      <c r="C8" s="10"/>
      <c r="D8" s="10"/>
      <c r="E8" s="10"/>
      <c r="F8" s="10"/>
      <c r="G8" s="10"/>
      <c r="H8" s="10"/>
      <c r="I8" s="10"/>
    </row>
    <row r="9" spans="1:12" x14ac:dyDescent="0.4">
      <c r="A9" s="26" t="s">
        <v>0</v>
      </c>
      <c r="B9" s="10"/>
      <c r="C9" s="10"/>
      <c r="D9" s="10"/>
      <c r="E9" s="10"/>
      <c r="F9" s="10"/>
      <c r="G9" s="10"/>
      <c r="H9" s="10"/>
      <c r="I9" s="10"/>
    </row>
    <row r="10" spans="1:12" x14ac:dyDescent="0.4">
      <c r="A10" s="26" t="s">
        <v>2</v>
      </c>
      <c r="B10" s="26">
        <v>3</v>
      </c>
      <c r="C10" s="3"/>
      <c r="D10" s="3"/>
      <c r="E10" s="3"/>
      <c r="F10" s="3"/>
      <c r="G10" s="3"/>
      <c r="H10" s="3"/>
      <c r="I10" s="3"/>
    </row>
    <row r="11" spans="1:12" x14ac:dyDescent="0.4">
      <c r="A11" s="26" t="s">
        <v>12</v>
      </c>
      <c r="B11" s="26">
        <v>0.8</v>
      </c>
      <c r="C11" s="3"/>
      <c r="D11" s="3"/>
      <c r="E11" s="3"/>
      <c r="F11" s="3"/>
      <c r="G11" s="3"/>
      <c r="H11" s="3"/>
      <c r="I11" s="3"/>
    </row>
    <row r="12" spans="1:12" x14ac:dyDescent="0.4">
      <c r="A12" s="6"/>
      <c r="B12" s="26"/>
      <c r="C12" s="3"/>
      <c r="D12" s="3"/>
      <c r="E12" s="3"/>
      <c r="F12" s="3"/>
      <c r="G12" s="3"/>
      <c r="H12" s="3"/>
      <c r="I12" s="3"/>
    </row>
    <row r="13" spans="1:12" x14ac:dyDescent="0.4">
      <c r="A13" s="26" t="s">
        <v>90</v>
      </c>
      <c r="B13" s="26">
        <f>(2-B10)/B11</f>
        <v>-1.25</v>
      </c>
      <c r="C13" s="26" t="s">
        <v>33</v>
      </c>
      <c r="D13" s="26">
        <f>NORMSDIST(B13)</f>
        <v>0.10564977366685525</v>
      </c>
      <c r="E13" s="32"/>
      <c r="F13" s="26"/>
      <c r="G13" s="33"/>
    </row>
    <row r="14" spans="1:12" x14ac:dyDescent="0.4">
      <c r="A14" s="26"/>
      <c r="B14"/>
      <c r="C14" s="32"/>
      <c r="D14"/>
      <c r="E14"/>
      <c r="F14"/>
      <c r="G14"/>
      <c r="H14"/>
      <c r="I14" s="3"/>
    </row>
    <row r="15" spans="1:12" x14ac:dyDescent="0.4">
      <c r="A15" s="26" t="s">
        <v>1</v>
      </c>
      <c r="B15"/>
      <c r="C15" s="32"/>
      <c r="D15"/>
      <c r="E15"/>
      <c r="F15"/>
      <c r="G15"/>
      <c r="H15"/>
      <c r="I15" s="3"/>
    </row>
    <row r="16" spans="1:12" x14ac:dyDescent="0.4">
      <c r="A16" s="26" t="s">
        <v>91</v>
      </c>
      <c r="B16"/>
      <c r="C16" s="32"/>
      <c r="D16">
        <f>(1.5-B10)/B11</f>
        <v>-1.875</v>
      </c>
      <c r="E16" s="32" t="s">
        <v>37</v>
      </c>
      <c r="F16">
        <f>(1-B10)/B11</f>
        <v>-2.5</v>
      </c>
      <c r="G16" s="26" t="s">
        <v>33</v>
      </c>
      <c r="H16">
        <f>NORMSDIST(D16)</f>
        <v>3.0396361765261368E-2</v>
      </c>
      <c r="I16" s="40" t="s">
        <v>3</v>
      </c>
      <c r="J16">
        <f>NORMSDIST(F16)</f>
        <v>6.2096653257761331E-3</v>
      </c>
      <c r="K16" s="33" t="s">
        <v>28</v>
      </c>
      <c r="L16" s="4">
        <f>H16-J16</f>
        <v>2.4186696439485234E-2</v>
      </c>
    </row>
    <row r="17" spans="1:11" x14ac:dyDescent="0.4">
      <c r="A17" s="26"/>
      <c r="B17"/>
      <c r="C17" s="32"/>
      <c r="D17"/>
      <c r="E17" s="32"/>
      <c r="F17"/>
      <c r="G17" s="32"/>
      <c r="H17"/>
      <c r="I17" s="32"/>
    </row>
    <row r="18" spans="1:11" x14ac:dyDescent="0.4">
      <c r="A18" s="6"/>
      <c r="B18"/>
      <c r="C18"/>
      <c r="D18"/>
      <c r="E18"/>
      <c r="F18"/>
      <c r="G18"/>
      <c r="H18"/>
      <c r="I18" s="3"/>
    </row>
    <row r="19" spans="1:11" x14ac:dyDescent="0.4">
      <c r="A19" s="26" t="s">
        <v>4</v>
      </c>
      <c r="B19"/>
      <c r="C19"/>
      <c r="D19"/>
      <c r="E19"/>
      <c r="F19"/>
      <c r="G19"/>
      <c r="H19"/>
      <c r="I19" s="3"/>
    </row>
    <row r="20" spans="1:11" x14ac:dyDescent="0.4">
      <c r="A20" s="26" t="s">
        <v>94</v>
      </c>
      <c r="B20"/>
      <c r="C20" s="32"/>
      <c r="D20"/>
      <c r="E20"/>
      <c r="F20"/>
      <c r="G20"/>
      <c r="H20"/>
      <c r="I20" s="26"/>
    </row>
    <row r="21" spans="1:11" x14ac:dyDescent="0.4">
      <c r="A21" s="26" t="s">
        <v>2</v>
      </c>
      <c r="B21">
        <f>B10</f>
        <v>3</v>
      </c>
      <c r="C21"/>
      <c r="D21"/>
      <c r="E21"/>
      <c r="F21"/>
      <c r="G21"/>
      <c r="H21"/>
      <c r="I21" s="3"/>
    </row>
    <row r="22" spans="1:11" x14ac:dyDescent="0.4">
      <c r="A22" s="26" t="s">
        <v>12</v>
      </c>
      <c r="B22">
        <f>B11/SQRT(30)</f>
        <v>0.14605934866804429</v>
      </c>
      <c r="C22"/>
      <c r="D22"/>
      <c r="E22"/>
      <c r="F22"/>
      <c r="G22"/>
      <c r="H22"/>
      <c r="I22" s="3"/>
    </row>
    <row r="23" spans="1:11" x14ac:dyDescent="0.4">
      <c r="A23" s="26"/>
      <c r="B23"/>
      <c r="C23"/>
      <c r="D23"/>
      <c r="E23"/>
      <c r="F23"/>
      <c r="G23"/>
      <c r="H23"/>
      <c r="I23" s="3"/>
    </row>
    <row r="24" spans="1:11" x14ac:dyDescent="0.4">
      <c r="A24" s="26"/>
      <c r="B24"/>
      <c r="C24"/>
      <c r="D24"/>
      <c r="E24"/>
      <c r="F24"/>
      <c r="G24"/>
      <c r="H24"/>
      <c r="I24" s="3"/>
    </row>
    <row r="25" spans="1:11" x14ac:dyDescent="0.4">
      <c r="A25" s="26" t="s">
        <v>95</v>
      </c>
      <c r="B25">
        <f>(3.2-B21)/B22</f>
        <v>1.3693063937629166</v>
      </c>
      <c r="C25" s="26" t="s">
        <v>33</v>
      </c>
      <c r="D25">
        <f>1-NORMSDIST(B25)</f>
        <v>8.5451760115398456E-2</v>
      </c>
      <c r="E25" s="32"/>
      <c r="F25"/>
      <c r="G25"/>
      <c r="H25"/>
      <c r="I25" s="3"/>
    </row>
    <row r="26" spans="1:11" ht="15" x14ac:dyDescent="0.5">
      <c r="A26" s="20"/>
      <c r="J26" s="2"/>
      <c r="K26" s="2"/>
    </row>
    <row r="27" spans="1:11" x14ac:dyDescent="0.4">
      <c r="A27" s="26" t="s">
        <v>11</v>
      </c>
      <c r="B27"/>
      <c r="C27"/>
      <c r="D27"/>
      <c r="E27"/>
      <c r="F27"/>
      <c r="G27"/>
      <c r="H27"/>
    </row>
    <row r="28" spans="1:11" ht="15" x14ac:dyDescent="0.5">
      <c r="A28" s="26" t="s">
        <v>125</v>
      </c>
      <c r="B28"/>
      <c r="C28"/>
      <c r="D28"/>
      <c r="E28"/>
      <c r="F28"/>
      <c r="G28"/>
      <c r="H28"/>
      <c r="J28" s="2"/>
      <c r="K28" s="2"/>
    </row>
    <row r="29" spans="1:11" x14ac:dyDescent="0.4">
      <c r="A29" s="26" t="s">
        <v>5</v>
      </c>
      <c r="B29">
        <v>5</v>
      </c>
      <c r="C29"/>
      <c r="D29"/>
      <c r="E29"/>
      <c r="F29"/>
      <c r="G29"/>
      <c r="H29"/>
    </row>
    <row r="30" spans="1:11" x14ac:dyDescent="0.4">
      <c r="A30" s="26" t="s">
        <v>126</v>
      </c>
      <c r="B30">
        <f>(0.8-B10)/B11</f>
        <v>-2.75</v>
      </c>
      <c r="C30" t="s">
        <v>127</v>
      </c>
      <c r="D30">
        <f>_xlfn.NORM.S.DIST(B30,TRUE)</f>
        <v>2.9797632350545551E-3</v>
      </c>
      <c r="E30"/>
      <c r="F30"/>
      <c r="G30"/>
      <c r="H30"/>
    </row>
    <row r="31" spans="1:11" x14ac:dyDescent="0.4">
      <c r="A31" s="26" t="s">
        <v>10</v>
      </c>
      <c r="B31">
        <f>D30</f>
        <v>2.9797632350545551E-3</v>
      </c>
      <c r="C31"/>
      <c r="D31"/>
      <c r="E31"/>
      <c r="F31"/>
      <c r="G31"/>
      <c r="H31"/>
    </row>
    <row r="32" spans="1:11" x14ac:dyDescent="0.4">
      <c r="A32" s="26" t="s">
        <v>93</v>
      </c>
      <c r="B32" s="32">
        <v>1</v>
      </c>
      <c r="C32" s="33" t="s">
        <v>3</v>
      </c>
      <c r="D32">
        <f>BINOMDIST(0,B29,B31,FALSE)</f>
        <v>0.98518970953519636</v>
      </c>
      <c r="E32" s="33" t="s">
        <v>3</v>
      </c>
      <c r="F32" s="4">
        <f>BINOMDIST(1,B29,B31,FALSE)</f>
        <v>1.4722028539522767E-2</v>
      </c>
      <c r="G32" s="32" t="s">
        <v>28</v>
      </c>
      <c r="H32">
        <f>1-D32</f>
        <v>1.4810290464803644E-2</v>
      </c>
    </row>
    <row r="33" spans="1:8" ht="12.75" customHeight="1" x14ac:dyDescent="0.4">
      <c r="A33" s="71"/>
      <c r="B33" s="27"/>
      <c r="C33" s="27"/>
      <c r="D33" s="27"/>
      <c r="E33" s="27"/>
      <c r="F33" s="27"/>
      <c r="G33" s="27"/>
      <c r="H33" s="27"/>
    </row>
    <row r="34" spans="1:8" x14ac:dyDescent="0.4">
      <c r="A34" s="71"/>
      <c r="B34" s="27"/>
      <c r="C34" s="27"/>
      <c r="D34" s="27"/>
      <c r="E34" s="27"/>
      <c r="F34" s="27"/>
      <c r="G34" s="27"/>
      <c r="H34" s="27"/>
    </row>
    <row r="35" spans="1:8" x14ac:dyDescent="0.4">
      <c r="A35" s="27"/>
    </row>
    <row r="36" spans="1:8" x14ac:dyDescent="0.4">
      <c r="A36" s="27"/>
    </row>
    <row r="41" spans="1:8" x14ac:dyDescent="0.4">
      <c r="A41" s="27"/>
      <c r="B41" s="27"/>
      <c r="C41" s="72"/>
      <c r="D41" s="72"/>
      <c r="E41" s="72"/>
      <c r="F41" s="41"/>
      <c r="G41" s="41"/>
      <c r="H41" s="41"/>
    </row>
    <row r="42" spans="1:8" x14ac:dyDescent="0.4">
      <c r="A42" s="27"/>
      <c r="B42" s="27"/>
      <c r="C42" s="27"/>
      <c r="D42" s="27"/>
      <c r="E42" s="27"/>
      <c r="F42" s="27"/>
      <c r="G42" s="27"/>
      <c r="H42" s="27"/>
    </row>
    <row r="43" spans="1:8" ht="12.75" customHeight="1" x14ac:dyDescent="0.4">
      <c r="A43" s="71"/>
      <c r="B43" s="27"/>
      <c r="C43" s="27"/>
      <c r="D43" s="27"/>
      <c r="E43" s="27"/>
      <c r="F43" s="27"/>
      <c r="G43" s="27"/>
      <c r="H43" s="27"/>
    </row>
    <row r="44" spans="1:8" x14ac:dyDescent="0.4">
      <c r="A44" s="71"/>
      <c r="B44" s="27"/>
      <c r="C44" s="27"/>
      <c r="D44" s="27"/>
      <c r="E44" s="27"/>
      <c r="F44" s="27"/>
      <c r="G44" s="27"/>
      <c r="H44" s="27"/>
    </row>
    <row r="45" spans="1:8" x14ac:dyDescent="0.4">
      <c r="A45" s="27"/>
    </row>
  </sheetData>
  <mergeCells count="3">
    <mergeCell ref="A33:A34"/>
    <mergeCell ref="C41:E41"/>
    <mergeCell ref="A43:A44"/>
  </mergeCells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topLeftCell="A11" zoomScale="150" zoomScaleNormal="150" workbookViewId="0">
      <selection activeCell="B30" sqref="B30"/>
    </sheetView>
  </sheetViews>
  <sheetFormatPr defaultColWidth="9.109375" defaultRowHeight="12.3" x14ac:dyDescent="0.4"/>
  <cols>
    <col min="1" max="1" width="27.33203125" style="4" customWidth="1"/>
    <col min="2" max="2" width="6.109375" style="4" customWidth="1"/>
    <col min="3" max="3" width="7.109375" style="4" customWidth="1"/>
    <col min="4" max="4" width="6.5546875" style="4" customWidth="1"/>
    <col min="5" max="5" width="6.88671875" style="4" customWidth="1"/>
    <col min="6" max="6" width="6.33203125" style="4" customWidth="1"/>
    <col min="7" max="7" width="6.109375" style="4" customWidth="1"/>
    <col min="8" max="8" width="6" style="4" customWidth="1"/>
    <col min="9" max="10" width="4.88671875" style="4" customWidth="1"/>
    <col min="11" max="11" width="6.109375" style="4" customWidth="1"/>
    <col min="12" max="12" width="6.5546875" style="4" customWidth="1"/>
    <col min="13" max="13" width="6.6640625" style="4" customWidth="1"/>
    <col min="14" max="16384" width="9.109375" style="4"/>
  </cols>
  <sheetData>
    <row r="1" spans="1:5" ht="15" x14ac:dyDescent="0.5">
      <c r="A1" s="3" t="s">
        <v>107</v>
      </c>
      <c r="B1"/>
      <c r="C1"/>
      <c r="D1"/>
      <c r="E1" s="5"/>
    </row>
    <row r="2" spans="1:5" ht="15" x14ac:dyDescent="0.5">
      <c r="A2" s="3" t="s">
        <v>118</v>
      </c>
      <c r="B2"/>
      <c r="C2"/>
      <c r="D2"/>
      <c r="E2" s="5"/>
    </row>
    <row r="3" spans="1:5" ht="15" x14ac:dyDescent="0.5">
      <c r="A3" s="3" t="s">
        <v>119</v>
      </c>
      <c r="B3"/>
      <c r="C3"/>
      <c r="D3"/>
      <c r="E3" s="5"/>
    </row>
    <row r="4" spans="1:5" x14ac:dyDescent="0.4">
      <c r="A4" s="3" t="s">
        <v>108</v>
      </c>
    </row>
    <row r="5" spans="1:5" ht="15" x14ac:dyDescent="0.5">
      <c r="A5" s="3" t="s">
        <v>120</v>
      </c>
      <c r="B5"/>
      <c r="C5"/>
      <c r="D5"/>
      <c r="E5" s="5"/>
    </row>
    <row r="6" spans="1:5" ht="15" x14ac:dyDescent="0.5">
      <c r="A6" s="3" t="s">
        <v>121</v>
      </c>
      <c r="B6"/>
      <c r="C6"/>
      <c r="D6"/>
      <c r="E6" s="5"/>
    </row>
    <row r="7" spans="1:5" ht="15" x14ac:dyDescent="0.5">
      <c r="A7" s="3" t="s">
        <v>122</v>
      </c>
      <c r="B7"/>
      <c r="C7"/>
      <c r="D7"/>
      <c r="E7" s="5"/>
    </row>
    <row r="8" spans="1:5" ht="15" x14ac:dyDescent="0.5">
      <c r="A8" s="17" t="s">
        <v>109</v>
      </c>
      <c r="B8">
        <f>1-B9</f>
        <v>0.41000000000000003</v>
      </c>
      <c r="C8"/>
      <c r="D8"/>
      <c r="E8" s="5"/>
    </row>
    <row r="9" spans="1:5" ht="15" x14ac:dyDescent="0.5">
      <c r="A9" s="17" t="s">
        <v>110</v>
      </c>
      <c r="B9">
        <v>0.59</v>
      </c>
      <c r="C9"/>
      <c r="D9"/>
      <c r="E9" s="5"/>
    </row>
    <row r="10" spans="1:5" ht="15" x14ac:dyDescent="0.5">
      <c r="A10" s="17"/>
      <c r="B10"/>
      <c r="C10"/>
      <c r="D10"/>
      <c r="E10" s="5"/>
    </row>
    <row r="11" spans="1:5" x14ac:dyDescent="0.4">
      <c r="A11" s="17" t="s">
        <v>111</v>
      </c>
      <c r="B11">
        <v>0.02</v>
      </c>
      <c r="C11"/>
      <c r="D11"/>
    </row>
    <row r="12" spans="1:5" x14ac:dyDescent="0.4">
      <c r="A12" s="17" t="s">
        <v>112</v>
      </c>
      <c r="B12">
        <v>0.05</v>
      </c>
      <c r="C12"/>
      <c r="D12"/>
    </row>
    <row r="13" spans="1:5" x14ac:dyDescent="0.4">
      <c r="A13" s="17"/>
      <c r="B13"/>
      <c r="C13"/>
      <c r="D13"/>
    </row>
    <row r="14" spans="1:5" x14ac:dyDescent="0.4">
      <c r="A14" s="17" t="s">
        <v>0</v>
      </c>
      <c r="B14"/>
      <c r="C14"/>
      <c r="D14"/>
    </row>
    <row r="15" spans="1:5" x14ac:dyDescent="0.4">
      <c r="A15" s="17" t="s">
        <v>113</v>
      </c>
      <c r="B15">
        <f>B11*B8+B12*B9</f>
        <v>3.7699999999999997E-2</v>
      </c>
      <c r="C15"/>
      <c r="D15"/>
    </row>
    <row r="16" spans="1:5" x14ac:dyDescent="0.4">
      <c r="A16" s="17" t="s">
        <v>1</v>
      </c>
      <c r="B16"/>
      <c r="C16"/>
      <c r="D16"/>
    </row>
    <row r="17" spans="1:4" x14ac:dyDescent="0.4">
      <c r="A17" s="17" t="s">
        <v>123</v>
      </c>
      <c r="B17">
        <f>B11*B8/B15</f>
        <v>0.21750663129973477</v>
      </c>
      <c r="C17"/>
      <c r="D17"/>
    </row>
    <row r="18" spans="1:4" x14ac:dyDescent="0.4">
      <c r="A18" s="21" t="s">
        <v>4</v>
      </c>
    </row>
    <row r="19" spans="1:4" x14ac:dyDescent="0.4">
      <c r="A19" s="63" t="s">
        <v>114</v>
      </c>
    </row>
    <row r="20" spans="1:4" x14ac:dyDescent="0.4">
      <c r="A20" s="63" t="s">
        <v>5</v>
      </c>
      <c r="B20" s="4">
        <v>10</v>
      </c>
    </row>
    <row r="21" spans="1:4" x14ac:dyDescent="0.4">
      <c r="A21" s="63" t="s">
        <v>10</v>
      </c>
      <c r="B21" s="4">
        <f>B15</f>
        <v>3.7699999999999997E-2</v>
      </c>
    </row>
    <row r="22" spans="1:4" x14ac:dyDescent="0.4">
      <c r="A22" s="63" t="s">
        <v>115</v>
      </c>
      <c r="B22" s="4">
        <f>BINOMDIST(0,B20,B21,FALSE)</f>
        <v>0.68093374644137072</v>
      </c>
    </row>
    <row r="23" spans="1:4" x14ac:dyDescent="0.4">
      <c r="A23" s="63" t="s">
        <v>11</v>
      </c>
    </row>
    <row r="24" spans="1:4" x14ac:dyDescent="0.4">
      <c r="A24" s="63" t="s">
        <v>116</v>
      </c>
    </row>
    <row r="25" spans="1:4" x14ac:dyDescent="0.4">
      <c r="A25" s="63" t="s">
        <v>117</v>
      </c>
    </row>
    <row r="26" spans="1:4" x14ac:dyDescent="0.4">
      <c r="A26" s="64" t="s">
        <v>2</v>
      </c>
      <c r="B26" s="4">
        <f>1000*B21</f>
        <v>37.699999999999996</v>
      </c>
    </row>
    <row r="27" spans="1:4" x14ac:dyDescent="0.4">
      <c r="A27" s="64" t="s">
        <v>12</v>
      </c>
      <c r="B27" s="4">
        <f>SQRT(1000*B21*(1-B21))</f>
        <v>6.0231810532309256</v>
      </c>
    </row>
    <row r="28" spans="1:4" x14ac:dyDescent="0.4">
      <c r="A28" s="63" t="s">
        <v>124</v>
      </c>
      <c r="B28" s="4">
        <f>NORMDIST(30.5,B26,B27,TRUE)</f>
        <v>0.11596897930481403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topLeftCell="A19" zoomScale="150" zoomScaleNormal="150" workbookViewId="0">
      <selection activeCell="B38" sqref="B38"/>
    </sheetView>
  </sheetViews>
  <sheetFormatPr defaultRowHeight="12.3" x14ac:dyDescent="0.4"/>
  <cols>
    <col min="1" max="1" width="14.44140625" customWidth="1"/>
    <col min="2" max="2" width="8" customWidth="1"/>
    <col min="4" max="4" width="11.71875" customWidth="1"/>
    <col min="5" max="5" width="7.27734375" customWidth="1"/>
    <col min="7" max="7" width="12.5546875" customWidth="1"/>
    <col min="257" max="257" width="14.44140625" customWidth="1"/>
    <col min="258" max="258" width="8" customWidth="1"/>
    <col min="260" max="260" width="11.71875" customWidth="1"/>
    <col min="261" max="261" width="7.27734375" customWidth="1"/>
    <col min="263" max="263" width="12.5546875" customWidth="1"/>
    <col min="513" max="513" width="14.44140625" customWidth="1"/>
    <col min="514" max="514" width="8" customWidth="1"/>
    <col min="516" max="516" width="11.71875" customWidth="1"/>
    <col min="517" max="517" width="7.27734375" customWidth="1"/>
    <col min="519" max="519" width="12.5546875" customWidth="1"/>
    <col min="769" max="769" width="14.44140625" customWidth="1"/>
    <col min="770" max="770" width="8" customWidth="1"/>
    <col min="772" max="772" width="11.71875" customWidth="1"/>
    <col min="773" max="773" width="7.27734375" customWidth="1"/>
    <col min="775" max="775" width="12.5546875" customWidth="1"/>
    <col min="1025" max="1025" width="14.44140625" customWidth="1"/>
    <col min="1026" max="1026" width="8" customWidth="1"/>
    <col min="1028" max="1028" width="11.71875" customWidth="1"/>
    <col min="1029" max="1029" width="7.27734375" customWidth="1"/>
    <col min="1031" max="1031" width="12.5546875" customWidth="1"/>
    <col min="1281" max="1281" width="14.44140625" customWidth="1"/>
    <col min="1282" max="1282" width="8" customWidth="1"/>
    <col min="1284" max="1284" width="11.71875" customWidth="1"/>
    <col min="1285" max="1285" width="7.27734375" customWidth="1"/>
    <col min="1287" max="1287" width="12.5546875" customWidth="1"/>
    <col min="1537" max="1537" width="14.44140625" customWidth="1"/>
    <col min="1538" max="1538" width="8" customWidth="1"/>
    <col min="1540" max="1540" width="11.71875" customWidth="1"/>
    <col min="1541" max="1541" width="7.27734375" customWidth="1"/>
    <col min="1543" max="1543" width="12.5546875" customWidth="1"/>
    <col min="1793" max="1793" width="14.44140625" customWidth="1"/>
    <col min="1794" max="1794" width="8" customWidth="1"/>
    <col min="1796" max="1796" width="11.71875" customWidth="1"/>
    <col min="1797" max="1797" width="7.27734375" customWidth="1"/>
    <col min="1799" max="1799" width="12.5546875" customWidth="1"/>
    <col min="2049" max="2049" width="14.44140625" customWidth="1"/>
    <col min="2050" max="2050" width="8" customWidth="1"/>
    <col min="2052" max="2052" width="11.71875" customWidth="1"/>
    <col min="2053" max="2053" width="7.27734375" customWidth="1"/>
    <col min="2055" max="2055" width="12.5546875" customWidth="1"/>
    <col min="2305" max="2305" width="14.44140625" customWidth="1"/>
    <col min="2306" max="2306" width="8" customWidth="1"/>
    <col min="2308" max="2308" width="11.71875" customWidth="1"/>
    <col min="2309" max="2309" width="7.27734375" customWidth="1"/>
    <col min="2311" max="2311" width="12.5546875" customWidth="1"/>
    <col min="2561" max="2561" width="14.44140625" customWidth="1"/>
    <col min="2562" max="2562" width="8" customWidth="1"/>
    <col min="2564" max="2564" width="11.71875" customWidth="1"/>
    <col min="2565" max="2565" width="7.27734375" customWidth="1"/>
    <col min="2567" max="2567" width="12.5546875" customWidth="1"/>
    <col min="2817" max="2817" width="14.44140625" customWidth="1"/>
    <col min="2818" max="2818" width="8" customWidth="1"/>
    <col min="2820" max="2820" width="11.71875" customWidth="1"/>
    <col min="2821" max="2821" width="7.27734375" customWidth="1"/>
    <col min="2823" max="2823" width="12.5546875" customWidth="1"/>
    <col min="3073" max="3073" width="14.44140625" customWidth="1"/>
    <col min="3074" max="3074" width="8" customWidth="1"/>
    <col min="3076" max="3076" width="11.71875" customWidth="1"/>
    <col min="3077" max="3077" width="7.27734375" customWidth="1"/>
    <col min="3079" max="3079" width="12.5546875" customWidth="1"/>
    <col min="3329" max="3329" width="14.44140625" customWidth="1"/>
    <col min="3330" max="3330" width="8" customWidth="1"/>
    <col min="3332" max="3332" width="11.71875" customWidth="1"/>
    <col min="3333" max="3333" width="7.27734375" customWidth="1"/>
    <col min="3335" max="3335" width="12.5546875" customWidth="1"/>
    <col min="3585" max="3585" width="14.44140625" customWidth="1"/>
    <col min="3586" max="3586" width="8" customWidth="1"/>
    <col min="3588" max="3588" width="11.71875" customWidth="1"/>
    <col min="3589" max="3589" width="7.27734375" customWidth="1"/>
    <col min="3591" max="3591" width="12.5546875" customWidth="1"/>
    <col min="3841" max="3841" width="14.44140625" customWidth="1"/>
    <col min="3842" max="3842" width="8" customWidth="1"/>
    <col min="3844" max="3844" width="11.71875" customWidth="1"/>
    <col min="3845" max="3845" width="7.27734375" customWidth="1"/>
    <col min="3847" max="3847" width="12.5546875" customWidth="1"/>
    <col min="4097" max="4097" width="14.44140625" customWidth="1"/>
    <col min="4098" max="4098" width="8" customWidth="1"/>
    <col min="4100" max="4100" width="11.71875" customWidth="1"/>
    <col min="4101" max="4101" width="7.27734375" customWidth="1"/>
    <col min="4103" max="4103" width="12.5546875" customWidth="1"/>
    <col min="4353" max="4353" width="14.44140625" customWidth="1"/>
    <col min="4354" max="4354" width="8" customWidth="1"/>
    <col min="4356" max="4356" width="11.71875" customWidth="1"/>
    <col min="4357" max="4357" width="7.27734375" customWidth="1"/>
    <col min="4359" max="4359" width="12.5546875" customWidth="1"/>
    <col min="4609" max="4609" width="14.44140625" customWidth="1"/>
    <col min="4610" max="4610" width="8" customWidth="1"/>
    <col min="4612" max="4612" width="11.71875" customWidth="1"/>
    <col min="4613" max="4613" width="7.27734375" customWidth="1"/>
    <col min="4615" max="4615" width="12.5546875" customWidth="1"/>
    <col min="4865" max="4865" width="14.44140625" customWidth="1"/>
    <col min="4866" max="4866" width="8" customWidth="1"/>
    <col min="4868" max="4868" width="11.71875" customWidth="1"/>
    <col min="4869" max="4869" width="7.27734375" customWidth="1"/>
    <col min="4871" max="4871" width="12.5546875" customWidth="1"/>
    <col min="5121" max="5121" width="14.44140625" customWidth="1"/>
    <col min="5122" max="5122" width="8" customWidth="1"/>
    <col min="5124" max="5124" width="11.71875" customWidth="1"/>
    <col min="5125" max="5125" width="7.27734375" customWidth="1"/>
    <col min="5127" max="5127" width="12.5546875" customWidth="1"/>
    <col min="5377" max="5377" width="14.44140625" customWidth="1"/>
    <col min="5378" max="5378" width="8" customWidth="1"/>
    <col min="5380" max="5380" width="11.71875" customWidth="1"/>
    <col min="5381" max="5381" width="7.27734375" customWidth="1"/>
    <col min="5383" max="5383" width="12.5546875" customWidth="1"/>
    <col min="5633" max="5633" width="14.44140625" customWidth="1"/>
    <col min="5634" max="5634" width="8" customWidth="1"/>
    <col min="5636" max="5636" width="11.71875" customWidth="1"/>
    <col min="5637" max="5637" width="7.27734375" customWidth="1"/>
    <col min="5639" max="5639" width="12.5546875" customWidth="1"/>
    <col min="5889" max="5889" width="14.44140625" customWidth="1"/>
    <col min="5890" max="5890" width="8" customWidth="1"/>
    <col min="5892" max="5892" width="11.71875" customWidth="1"/>
    <col min="5893" max="5893" width="7.27734375" customWidth="1"/>
    <col min="5895" max="5895" width="12.5546875" customWidth="1"/>
    <col min="6145" max="6145" width="14.44140625" customWidth="1"/>
    <col min="6146" max="6146" width="8" customWidth="1"/>
    <col min="6148" max="6148" width="11.71875" customWidth="1"/>
    <col min="6149" max="6149" width="7.27734375" customWidth="1"/>
    <col min="6151" max="6151" width="12.5546875" customWidth="1"/>
    <col min="6401" max="6401" width="14.44140625" customWidth="1"/>
    <col min="6402" max="6402" width="8" customWidth="1"/>
    <col min="6404" max="6404" width="11.71875" customWidth="1"/>
    <col min="6405" max="6405" width="7.27734375" customWidth="1"/>
    <col min="6407" max="6407" width="12.5546875" customWidth="1"/>
    <col min="6657" max="6657" width="14.44140625" customWidth="1"/>
    <col min="6658" max="6658" width="8" customWidth="1"/>
    <col min="6660" max="6660" width="11.71875" customWidth="1"/>
    <col min="6661" max="6661" width="7.27734375" customWidth="1"/>
    <col min="6663" max="6663" width="12.5546875" customWidth="1"/>
    <col min="6913" max="6913" width="14.44140625" customWidth="1"/>
    <col min="6914" max="6914" width="8" customWidth="1"/>
    <col min="6916" max="6916" width="11.71875" customWidth="1"/>
    <col min="6917" max="6917" width="7.27734375" customWidth="1"/>
    <col min="6919" max="6919" width="12.5546875" customWidth="1"/>
    <col min="7169" max="7169" width="14.44140625" customWidth="1"/>
    <col min="7170" max="7170" width="8" customWidth="1"/>
    <col min="7172" max="7172" width="11.71875" customWidth="1"/>
    <col min="7173" max="7173" width="7.27734375" customWidth="1"/>
    <col min="7175" max="7175" width="12.5546875" customWidth="1"/>
    <col min="7425" max="7425" width="14.44140625" customWidth="1"/>
    <col min="7426" max="7426" width="8" customWidth="1"/>
    <col min="7428" max="7428" width="11.71875" customWidth="1"/>
    <col min="7429" max="7429" width="7.27734375" customWidth="1"/>
    <col min="7431" max="7431" width="12.5546875" customWidth="1"/>
    <col min="7681" max="7681" width="14.44140625" customWidth="1"/>
    <col min="7682" max="7682" width="8" customWidth="1"/>
    <col min="7684" max="7684" width="11.71875" customWidth="1"/>
    <col min="7685" max="7685" width="7.27734375" customWidth="1"/>
    <col min="7687" max="7687" width="12.5546875" customWidth="1"/>
    <col min="7937" max="7937" width="14.44140625" customWidth="1"/>
    <col min="7938" max="7938" width="8" customWidth="1"/>
    <col min="7940" max="7940" width="11.71875" customWidth="1"/>
    <col min="7941" max="7941" width="7.27734375" customWidth="1"/>
    <col min="7943" max="7943" width="12.5546875" customWidth="1"/>
    <col min="8193" max="8193" width="14.44140625" customWidth="1"/>
    <col min="8194" max="8194" width="8" customWidth="1"/>
    <col min="8196" max="8196" width="11.71875" customWidth="1"/>
    <col min="8197" max="8197" width="7.27734375" customWidth="1"/>
    <col min="8199" max="8199" width="12.5546875" customWidth="1"/>
    <col min="8449" max="8449" width="14.44140625" customWidth="1"/>
    <col min="8450" max="8450" width="8" customWidth="1"/>
    <col min="8452" max="8452" width="11.71875" customWidth="1"/>
    <col min="8453" max="8453" width="7.27734375" customWidth="1"/>
    <col min="8455" max="8455" width="12.5546875" customWidth="1"/>
    <col min="8705" max="8705" width="14.44140625" customWidth="1"/>
    <col min="8706" max="8706" width="8" customWidth="1"/>
    <col min="8708" max="8708" width="11.71875" customWidth="1"/>
    <col min="8709" max="8709" width="7.27734375" customWidth="1"/>
    <col min="8711" max="8711" width="12.5546875" customWidth="1"/>
    <col min="8961" max="8961" width="14.44140625" customWidth="1"/>
    <col min="8962" max="8962" width="8" customWidth="1"/>
    <col min="8964" max="8964" width="11.71875" customWidth="1"/>
    <col min="8965" max="8965" width="7.27734375" customWidth="1"/>
    <col min="8967" max="8967" width="12.5546875" customWidth="1"/>
    <col min="9217" max="9217" width="14.44140625" customWidth="1"/>
    <col min="9218" max="9218" width="8" customWidth="1"/>
    <col min="9220" max="9220" width="11.71875" customWidth="1"/>
    <col min="9221" max="9221" width="7.27734375" customWidth="1"/>
    <col min="9223" max="9223" width="12.5546875" customWidth="1"/>
    <col min="9473" max="9473" width="14.44140625" customWidth="1"/>
    <col min="9474" max="9474" width="8" customWidth="1"/>
    <col min="9476" max="9476" width="11.71875" customWidth="1"/>
    <col min="9477" max="9477" width="7.27734375" customWidth="1"/>
    <col min="9479" max="9479" width="12.5546875" customWidth="1"/>
    <col min="9729" max="9729" width="14.44140625" customWidth="1"/>
    <col min="9730" max="9730" width="8" customWidth="1"/>
    <col min="9732" max="9732" width="11.71875" customWidth="1"/>
    <col min="9733" max="9733" width="7.27734375" customWidth="1"/>
    <col min="9735" max="9735" width="12.5546875" customWidth="1"/>
    <col min="9985" max="9985" width="14.44140625" customWidth="1"/>
    <col min="9986" max="9986" width="8" customWidth="1"/>
    <col min="9988" max="9988" width="11.71875" customWidth="1"/>
    <col min="9989" max="9989" width="7.27734375" customWidth="1"/>
    <col min="9991" max="9991" width="12.5546875" customWidth="1"/>
    <col min="10241" max="10241" width="14.44140625" customWidth="1"/>
    <col min="10242" max="10242" width="8" customWidth="1"/>
    <col min="10244" max="10244" width="11.71875" customWidth="1"/>
    <col min="10245" max="10245" width="7.27734375" customWidth="1"/>
    <col min="10247" max="10247" width="12.5546875" customWidth="1"/>
    <col min="10497" max="10497" width="14.44140625" customWidth="1"/>
    <col min="10498" max="10498" width="8" customWidth="1"/>
    <col min="10500" max="10500" width="11.71875" customWidth="1"/>
    <col min="10501" max="10501" width="7.27734375" customWidth="1"/>
    <col min="10503" max="10503" width="12.5546875" customWidth="1"/>
    <col min="10753" max="10753" width="14.44140625" customWidth="1"/>
    <col min="10754" max="10754" width="8" customWidth="1"/>
    <col min="10756" max="10756" width="11.71875" customWidth="1"/>
    <col min="10757" max="10757" width="7.27734375" customWidth="1"/>
    <col min="10759" max="10759" width="12.5546875" customWidth="1"/>
    <col min="11009" max="11009" width="14.44140625" customWidth="1"/>
    <col min="11010" max="11010" width="8" customWidth="1"/>
    <col min="11012" max="11012" width="11.71875" customWidth="1"/>
    <col min="11013" max="11013" width="7.27734375" customWidth="1"/>
    <col min="11015" max="11015" width="12.5546875" customWidth="1"/>
    <col min="11265" max="11265" width="14.44140625" customWidth="1"/>
    <col min="11266" max="11266" width="8" customWidth="1"/>
    <col min="11268" max="11268" width="11.71875" customWidth="1"/>
    <col min="11269" max="11269" width="7.27734375" customWidth="1"/>
    <col min="11271" max="11271" width="12.5546875" customWidth="1"/>
    <col min="11521" max="11521" width="14.44140625" customWidth="1"/>
    <col min="11522" max="11522" width="8" customWidth="1"/>
    <col min="11524" max="11524" width="11.71875" customWidth="1"/>
    <col min="11525" max="11525" width="7.27734375" customWidth="1"/>
    <col min="11527" max="11527" width="12.5546875" customWidth="1"/>
    <col min="11777" max="11777" width="14.44140625" customWidth="1"/>
    <col min="11778" max="11778" width="8" customWidth="1"/>
    <col min="11780" max="11780" width="11.71875" customWidth="1"/>
    <col min="11781" max="11781" width="7.27734375" customWidth="1"/>
    <col min="11783" max="11783" width="12.5546875" customWidth="1"/>
    <col min="12033" max="12033" width="14.44140625" customWidth="1"/>
    <col min="12034" max="12034" width="8" customWidth="1"/>
    <col min="12036" max="12036" width="11.71875" customWidth="1"/>
    <col min="12037" max="12037" width="7.27734375" customWidth="1"/>
    <col min="12039" max="12039" width="12.5546875" customWidth="1"/>
    <col min="12289" max="12289" width="14.44140625" customWidth="1"/>
    <col min="12290" max="12290" width="8" customWidth="1"/>
    <col min="12292" max="12292" width="11.71875" customWidth="1"/>
    <col min="12293" max="12293" width="7.27734375" customWidth="1"/>
    <col min="12295" max="12295" width="12.5546875" customWidth="1"/>
    <col min="12545" max="12545" width="14.44140625" customWidth="1"/>
    <col min="12546" max="12546" width="8" customWidth="1"/>
    <col min="12548" max="12548" width="11.71875" customWidth="1"/>
    <col min="12549" max="12549" width="7.27734375" customWidth="1"/>
    <col min="12551" max="12551" width="12.5546875" customWidth="1"/>
    <col min="12801" max="12801" width="14.44140625" customWidth="1"/>
    <col min="12802" max="12802" width="8" customWidth="1"/>
    <col min="12804" max="12804" width="11.71875" customWidth="1"/>
    <col min="12805" max="12805" width="7.27734375" customWidth="1"/>
    <col min="12807" max="12807" width="12.5546875" customWidth="1"/>
    <col min="13057" max="13057" width="14.44140625" customWidth="1"/>
    <col min="13058" max="13058" width="8" customWidth="1"/>
    <col min="13060" max="13060" width="11.71875" customWidth="1"/>
    <col min="13061" max="13061" width="7.27734375" customWidth="1"/>
    <col min="13063" max="13063" width="12.5546875" customWidth="1"/>
    <col min="13313" max="13313" width="14.44140625" customWidth="1"/>
    <col min="13314" max="13314" width="8" customWidth="1"/>
    <col min="13316" max="13316" width="11.71875" customWidth="1"/>
    <col min="13317" max="13317" width="7.27734375" customWidth="1"/>
    <col min="13319" max="13319" width="12.5546875" customWidth="1"/>
    <col min="13569" max="13569" width="14.44140625" customWidth="1"/>
    <col min="13570" max="13570" width="8" customWidth="1"/>
    <col min="13572" max="13572" width="11.71875" customWidth="1"/>
    <col min="13573" max="13573" width="7.27734375" customWidth="1"/>
    <col min="13575" max="13575" width="12.5546875" customWidth="1"/>
    <col min="13825" max="13825" width="14.44140625" customWidth="1"/>
    <col min="13826" max="13826" width="8" customWidth="1"/>
    <col min="13828" max="13828" width="11.71875" customWidth="1"/>
    <col min="13829" max="13829" width="7.27734375" customWidth="1"/>
    <col min="13831" max="13831" width="12.5546875" customWidth="1"/>
    <col min="14081" max="14081" width="14.44140625" customWidth="1"/>
    <col min="14082" max="14082" width="8" customWidth="1"/>
    <col min="14084" max="14084" width="11.71875" customWidth="1"/>
    <col min="14085" max="14085" width="7.27734375" customWidth="1"/>
    <col min="14087" max="14087" width="12.5546875" customWidth="1"/>
    <col min="14337" max="14337" width="14.44140625" customWidth="1"/>
    <col min="14338" max="14338" width="8" customWidth="1"/>
    <col min="14340" max="14340" width="11.71875" customWidth="1"/>
    <col min="14341" max="14341" width="7.27734375" customWidth="1"/>
    <col min="14343" max="14343" width="12.5546875" customWidth="1"/>
    <col min="14593" max="14593" width="14.44140625" customWidth="1"/>
    <col min="14594" max="14594" width="8" customWidth="1"/>
    <col min="14596" max="14596" width="11.71875" customWidth="1"/>
    <col min="14597" max="14597" width="7.27734375" customWidth="1"/>
    <col min="14599" max="14599" width="12.5546875" customWidth="1"/>
    <col min="14849" max="14849" width="14.44140625" customWidth="1"/>
    <col min="14850" max="14850" width="8" customWidth="1"/>
    <col min="14852" max="14852" width="11.71875" customWidth="1"/>
    <col min="14853" max="14853" width="7.27734375" customWidth="1"/>
    <col min="14855" max="14855" width="12.5546875" customWidth="1"/>
    <col min="15105" max="15105" width="14.44140625" customWidth="1"/>
    <col min="15106" max="15106" width="8" customWidth="1"/>
    <col min="15108" max="15108" width="11.71875" customWidth="1"/>
    <col min="15109" max="15109" width="7.27734375" customWidth="1"/>
    <col min="15111" max="15111" width="12.5546875" customWidth="1"/>
    <col min="15361" max="15361" width="14.44140625" customWidth="1"/>
    <col min="15362" max="15362" width="8" customWidth="1"/>
    <col min="15364" max="15364" width="11.71875" customWidth="1"/>
    <col min="15365" max="15365" width="7.27734375" customWidth="1"/>
    <col min="15367" max="15367" width="12.5546875" customWidth="1"/>
    <col min="15617" max="15617" width="14.44140625" customWidth="1"/>
    <col min="15618" max="15618" width="8" customWidth="1"/>
    <col min="15620" max="15620" width="11.71875" customWidth="1"/>
    <col min="15621" max="15621" width="7.27734375" customWidth="1"/>
    <col min="15623" max="15623" width="12.5546875" customWidth="1"/>
    <col min="15873" max="15873" width="14.44140625" customWidth="1"/>
    <col min="15874" max="15874" width="8" customWidth="1"/>
    <col min="15876" max="15876" width="11.71875" customWidth="1"/>
    <col min="15877" max="15877" width="7.27734375" customWidth="1"/>
    <col min="15879" max="15879" width="12.5546875" customWidth="1"/>
    <col min="16129" max="16129" width="14.44140625" customWidth="1"/>
    <col min="16130" max="16130" width="8" customWidth="1"/>
    <col min="16132" max="16132" width="11.71875" customWidth="1"/>
    <col min="16133" max="16133" width="7.27734375" customWidth="1"/>
    <col min="16135" max="16135" width="12.5546875" customWidth="1"/>
  </cols>
  <sheetData>
    <row r="1" spans="1:6" ht="15" x14ac:dyDescent="0.5">
      <c r="A1" s="1" t="s">
        <v>96</v>
      </c>
      <c r="B1" s="1"/>
      <c r="C1" s="1"/>
    </row>
    <row r="2" spans="1:6" ht="15" x14ac:dyDescent="0.5">
      <c r="A2" s="1" t="s">
        <v>58</v>
      </c>
      <c r="B2" s="1"/>
      <c r="C2" s="1"/>
    </row>
    <row r="3" spans="1:6" ht="15" x14ac:dyDescent="0.5">
      <c r="A3" s="49" t="s">
        <v>97</v>
      </c>
      <c r="B3" s="1"/>
      <c r="D3" s="1"/>
      <c r="E3" s="1"/>
      <c r="F3" s="1"/>
    </row>
    <row r="4" spans="1:6" ht="15" x14ac:dyDescent="0.5">
      <c r="A4" s="49" t="s">
        <v>59</v>
      </c>
      <c r="B4" s="1"/>
      <c r="D4" s="1"/>
      <c r="E4" s="1"/>
      <c r="F4" s="1"/>
    </row>
    <row r="5" spans="1:6" ht="15" x14ac:dyDescent="0.5">
      <c r="A5" s="49" t="s">
        <v>98</v>
      </c>
      <c r="B5" s="1"/>
      <c r="D5" s="1"/>
      <c r="E5" s="1"/>
      <c r="F5" s="1"/>
    </row>
    <row r="6" spans="1:6" ht="15" x14ac:dyDescent="0.5">
      <c r="A6" s="1" t="s">
        <v>99</v>
      </c>
      <c r="B6" s="1"/>
      <c r="D6" s="1"/>
      <c r="E6" s="1"/>
      <c r="F6" s="1"/>
    </row>
    <row r="7" spans="1:6" ht="15" x14ac:dyDescent="0.5">
      <c r="A7" s="50" t="s">
        <v>100</v>
      </c>
      <c r="B7" s="17"/>
      <c r="C7" s="17"/>
      <c r="D7" s="17"/>
      <c r="E7" s="17"/>
      <c r="F7" s="17"/>
    </row>
    <row r="8" spans="1:6" ht="15" x14ac:dyDescent="0.5">
      <c r="A8" s="49" t="s">
        <v>67</v>
      </c>
      <c r="B8" s="26"/>
      <c r="C8" s="17"/>
      <c r="D8" s="17"/>
      <c r="E8" s="17"/>
      <c r="F8" s="17"/>
    </row>
    <row r="9" spans="1:6" x14ac:dyDescent="0.4">
      <c r="B9" s="26"/>
      <c r="C9" s="17"/>
      <c r="D9" s="17"/>
      <c r="E9" s="17"/>
      <c r="F9" s="17"/>
    </row>
    <row r="10" spans="1:6" ht="15" x14ac:dyDescent="0.5">
      <c r="A10" s="51"/>
      <c r="B10" s="52"/>
      <c r="C10" s="17"/>
      <c r="D10" s="17"/>
      <c r="E10" s="17"/>
      <c r="F10" s="17"/>
    </row>
    <row r="11" spans="1:6" x14ac:dyDescent="0.4">
      <c r="A11" s="53" t="s">
        <v>0</v>
      </c>
      <c r="B11" s="10"/>
      <c r="C11" s="10"/>
      <c r="D11" s="10"/>
      <c r="E11" s="10"/>
      <c r="F11" s="10"/>
    </row>
    <row r="12" spans="1:6" ht="15" x14ac:dyDescent="0.5">
      <c r="A12" s="21" t="s">
        <v>5</v>
      </c>
      <c r="B12" s="5">
        <v>480</v>
      </c>
      <c r="C12" s="27"/>
      <c r="D12" s="27"/>
      <c r="E12" s="27"/>
      <c r="F12" s="4"/>
    </row>
    <row r="13" spans="1:6" x14ac:dyDescent="0.4">
      <c r="A13" s="29" t="s">
        <v>10</v>
      </c>
      <c r="B13" s="26">
        <f>98/B12</f>
        <v>0.20416666666666666</v>
      </c>
      <c r="C13" s="27"/>
      <c r="D13" s="27"/>
      <c r="E13" s="27"/>
      <c r="F13" s="4"/>
    </row>
    <row r="14" spans="1:6" x14ac:dyDescent="0.4">
      <c r="A14" s="6" t="s">
        <v>30</v>
      </c>
      <c r="B14" s="26">
        <v>0.95</v>
      </c>
      <c r="C14" s="27"/>
      <c r="D14" s="27"/>
      <c r="E14" s="27"/>
      <c r="F14" s="4"/>
    </row>
    <row r="15" spans="1:6" ht="14.7" x14ac:dyDescent="0.6">
      <c r="A15" s="26" t="s">
        <v>26</v>
      </c>
      <c r="B15" s="26">
        <f>NORMSINV(1-(1-B14)/2)</f>
        <v>1.9599639845400536</v>
      </c>
      <c r="C15" s="4"/>
      <c r="D15" s="4"/>
      <c r="E15" s="4"/>
      <c r="F15" s="4"/>
    </row>
    <row r="16" spans="1:6" x14ac:dyDescent="0.4">
      <c r="A16" s="26" t="s">
        <v>60</v>
      </c>
      <c r="B16" s="26"/>
      <c r="C16" s="27"/>
      <c r="D16" s="4"/>
      <c r="E16" s="30">
        <f>B13-B15*SQRT(B13*(1-B13)/B12)</f>
        <v>0.16810623225530372</v>
      </c>
      <c r="F16" s="4"/>
    </row>
    <row r="17" spans="1:6" x14ac:dyDescent="0.4">
      <c r="A17" s="26" t="s">
        <v>61</v>
      </c>
      <c r="B17" s="26"/>
      <c r="C17" s="27"/>
      <c r="D17" s="30"/>
      <c r="E17" s="4">
        <f>B13+B15*SQRT(B13*(1-B13)/B12)</f>
        <v>0.24022710107802961</v>
      </c>
      <c r="F17" s="4"/>
    </row>
    <row r="18" spans="1:6" x14ac:dyDescent="0.4">
      <c r="A18" s="26"/>
      <c r="B18" s="30"/>
      <c r="C18" s="4"/>
      <c r="D18" s="4"/>
      <c r="E18" s="4"/>
      <c r="F18" s="4"/>
    </row>
    <row r="19" spans="1:6" x14ac:dyDescent="0.4">
      <c r="A19" s="26" t="s">
        <v>1</v>
      </c>
      <c r="B19" s="26"/>
      <c r="C19" s="4"/>
      <c r="D19" s="4"/>
      <c r="E19" s="4"/>
      <c r="F19" s="4"/>
    </row>
    <row r="20" spans="1:6" x14ac:dyDescent="0.4">
      <c r="A20" s="6" t="s">
        <v>30</v>
      </c>
      <c r="B20" s="26">
        <v>0.95</v>
      </c>
      <c r="C20" s="27"/>
      <c r="D20" s="27"/>
      <c r="E20" s="27"/>
      <c r="F20" s="4"/>
    </row>
    <row r="21" spans="1:6" ht="14.7" x14ac:dyDescent="0.6">
      <c r="A21" s="26" t="s">
        <v>26</v>
      </c>
      <c r="B21" s="26">
        <f>NORMSINV(1-(1-B20)/2)</f>
        <v>1.9599639845400536</v>
      </c>
      <c r="C21" s="4"/>
      <c r="D21" s="4"/>
      <c r="E21" s="4"/>
      <c r="F21" s="4"/>
    </row>
    <row r="22" spans="1:6" x14ac:dyDescent="0.4">
      <c r="A22" s="26" t="s">
        <v>62</v>
      </c>
      <c r="B22">
        <v>0.05</v>
      </c>
      <c r="C22" s="4"/>
      <c r="D22" s="4"/>
      <c r="E22" s="4"/>
      <c r="F22" s="4"/>
    </row>
    <row r="23" spans="1:6" x14ac:dyDescent="0.4">
      <c r="A23" s="27" t="s">
        <v>5</v>
      </c>
      <c r="B23" s="4">
        <f>4*B21^2*B13*(1-B13)/B22^2</f>
        <v>998.67258619100824</v>
      </c>
      <c r="C23" s="4"/>
      <c r="D23" s="4"/>
      <c r="E23" s="4"/>
      <c r="F23" s="4"/>
    </row>
    <row r="24" spans="1:6" x14ac:dyDescent="0.4">
      <c r="A24" s="4"/>
      <c r="B24" s="4"/>
      <c r="C24" s="4"/>
      <c r="D24" s="4"/>
      <c r="E24" s="4"/>
      <c r="F24" s="4"/>
    </row>
    <row r="25" spans="1:6" x14ac:dyDescent="0.4">
      <c r="A25" s="16" t="s">
        <v>4</v>
      </c>
      <c r="B25" s="4"/>
      <c r="C25" s="4"/>
      <c r="D25" s="4"/>
      <c r="E25" s="4"/>
      <c r="F25" s="4"/>
    </row>
    <row r="26" spans="1:6" ht="14.7" x14ac:dyDescent="0.6">
      <c r="A26" s="16" t="s">
        <v>63</v>
      </c>
      <c r="B26" s="4">
        <v>0.15</v>
      </c>
      <c r="C26" s="4"/>
      <c r="D26" s="4"/>
      <c r="E26" s="4"/>
      <c r="F26" s="4"/>
    </row>
    <row r="27" spans="1:6" ht="14.7" x14ac:dyDescent="0.6">
      <c r="A27" s="16" t="s">
        <v>64</v>
      </c>
      <c r="B27" s="4">
        <v>0.15</v>
      </c>
      <c r="C27" s="4"/>
      <c r="D27" s="4"/>
      <c r="E27" s="4"/>
      <c r="F27" s="4"/>
    </row>
    <row r="28" spans="1:6" x14ac:dyDescent="0.4">
      <c r="A28" s="6" t="s">
        <v>24</v>
      </c>
      <c r="B28" s="26">
        <v>0.01</v>
      </c>
      <c r="C28" s="4"/>
      <c r="D28" s="4"/>
      <c r="E28" s="4"/>
      <c r="F28" s="4"/>
    </row>
    <row r="29" spans="1:6" ht="14.7" x14ac:dyDescent="0.6">
      <c r="A29" s="26" t="s">
        <v>25</v>
      </c>
      <c r="B29" s="26">
        <f>NORMSINV(1-B28)</f>
        <v>2.3263478740408408</v>
      </c>
      <c r="C29" s="4"/>
      <c r="D29" s="4"/>
      <c r="E29" s="4"/>
      <c r="F29" s="4"/>
    </row>
    <row r="30" spans="1:6" x14ac:dyDescent="0.4">
      <c r="A30" s="27" t="s">
        <v>65</v>
      </c>
      <c r="B30" s="4">
        <f>(B13-B26)/SQRT(B26*(1-B26)/B12)</f>
        <v>3.3235149516719384</v>
      </c>
      <c r="C30" s="4"/>
      <c r="D30" s="4"/>
      <c r="E30" s="4"/>
      <c r="F30" s="4"/>
    </row>
    <row r="31" spans="1:6" x14ac:dyDescent="0.4">
      <c r="A31" s="4"/>
      <c r="B31" s="4"/>
      <c r="C31" s="4"/>
      <c r="D31" s="4"/>
      <c r="E31" s="4"/>
      <c r="F31" s="4"/>
    </row>
    <row r="32" spans="1:6" x14ac:dyDescent="0.4">
      <c r="A32" s="54" t="s">
        <v>66</v>
      </c>
      <c r="B32" s="4"/>
      <c r="C32" s="4"/>
      <c r="D32" s="4"/>
      <c r="E32" s="4"/>
      <c r="F32" s="4"/>
    </row>
    <row r="33" spans="1:6" x14ac:dyDescent="0.4">
      <c r="A33" s="4"/>
      <c r="B33" s="4"/>
      <c r="C33" s="4"/>
      <c r="D33" s="4"/>
      <c r="E33" s="4"/>
      <c r="F33" s="4"/>
    </row>
    <row r="34" spans="1:6" x14ac:dyDescent="0.4">
      <c r="A34" s="16" t="s">
        <v>11</v>
      </c>
      <c r="B34" s="4"/>
      <c r="C34" s="4"/>
      <c r="D34" s="4"/>
      <c r="E34" s="4"/>
      <c r="F34" s="4"/>
    </row>
    <row r="35" spans="1:6" x14ac:dyDescent="0.4">
      <c r="A35" s="16" t="s">
        <v>27</v>
      </c>
      <c r="B35" s="4">
        <f>1-NORMSDIST(B30)</f>
        <v>4.4445328761522074E-4</v>
      </c>
      <c r="C35" s="4"/>
      <c r="D35" s="4"/>
      <c r="E35" s="4"/>
      <c r="F35" s="4"/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1"/>
  <sheetViews>
    <sheetView tabSelected="1" topLeftCell="A21" zoomScale="150" zoomScaleNormal="150" workbookViewId="0">
      <selection activeCell="B39" sqref="B39"/>
    </sheetView>
  </sheetViews>
  <sheetFormatPr defaultColWidth="9.109375" defaultRowHeight="12.3" x14ac:dyDescent="0.4"/>
  <cols>
    <col min="1" max="1" width="9.109375" style="4"/>
    <col min="2" max="2" width="12.5546875" style="4" customWidth="1"/>
    <col min="3" max="3" width="9.109375" style="4"/>
    <col min="4" max="4" width="10.6640625" style="4" customWidth="1"/>
    <col min="5" max="5" width="17.5546875" style="4" customWidth="1"/>
    <col min="6" max="6" width="12.6640625" style="4" customWidth="1"/>
    <col min="7" max="7" width="16.6640625" style="4" customWidth="1"/>
    <col min="8" max="16384" width="9.109375" style="4"/>
  </cols>
  <sheetData>
    <row r="1" spans="1:10" x14ac:dyDescent="0.4">
      <c r="A1" s="3" t="s">
        <v>101</v>
      </c>
      <c r="B1"/>
      <c r="C1"/>
      <c r="D1"/>
      <c r="E1"/>
      <c r="F1"/>
      <c r="G1"/>
      <c r="H1"/>
      <c r="I1"/>
      <c r="J1"/>
    </row>
    <row r="2" spans="1:10" x14ac:dyDescent="0.4">
      <c r="A2" s="3">
        <v>65</v>
      </c>
      <c r="B2">
        <v>73</v>
      </c>
      <c r="C2">
        <v>58</v>
      </c>
      <c r="D2">
        <v>80</v>
      </c>
      <c r="E2">
        <v>70</v>
      </c>
      <c r="F2"/>
      <c r="G2"/>
      <c r="H2"/>
      <c r="I2"/>
      <c r="J2"/>
    </row>
    <row r="3" spans="1:10" x14ac:dyDescent="0.4">
      <c r="A3" s="3" t="s">
        <v>102</v>
      </c>
      <c r="B3"/>
      <c r="C3"/>
      <c r="D3"/>
      <c r="E3"/>
      <c r="F3"/>
      <c r="G3"/>
      <c r="H3"/>
      <c r="I3"/>
      <c r="J3"/>
    </row>
    <row r="4" spans="1:10" ht="14.4" customHeight="1" x14ac:dyDescent="0.4">
      <c r="A4" s="3" t="s">
        <v>103</v>
      </c>
      <c r="B4"/>
      <c r="C4"/>
      <c r="D4"/>
      <c r="E4"/>
      <c r="F4"/>
      <c r="G4"/>
      <c r="H4"/>
      <c r="I4"/>
      <c r="J4"/>
    </row>
    <row r="5" spans="1:10" x14ac:dyDescent="0.4">
      <c r="A5" s="3" t="s">
        <v>104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4">
      <c r="A6" s="3" t="s">
        <v>105</v>
      </c>
      <c r="B6"/>
      <c r="C6"/>
      <c r="D6"/>
      <c r="E6"/>
      <c r="F6"/>
      <c r="G6"/>
      <c r="H6"/>
      <c r="I6"/>
      <c r="J6"/>
    </row>
    <row r="7" spans="1:10" x14ac:dyDescent="0.4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4">
      <c r="A8" s="17" t="s">
        <v>5</v>
      </c>
      <c r="B8">
        <v>5</v>
      </c>
      <c r="C8"/>
      <c r="D8"/>
      <c r="E8"/>
      <c r="F8"/>
      <c r="G8"/>
      <c r="H8"/>
      <c r="I8"/>
      <c r="J8"/>
    </row>
    <row r="9" spans="1:10" x14ac:dyDescent="0.4">
      <c r="A9" s="26"/>
      <c r="B9"/>
      <c r="C9"/>
      <c r="D9"/>
      <c r="E9"/>
      <c r="F9"/>
      <c r="G9"/>
      <c r="H9"/>
      <c r="I9"/>
      <c r="J9"/>
    </row>
    <row r="10" spans="1:10" x14ac:dyDescent="0.4">
      <c r="A10" s="26" t="s">
        <v>7</v>
      </c>
      <c r="B10" s="35">
        <f xml:space="preserve"> SUM(A2:E2)/B8</f>
        <v>69.2</v>
      </c>
      <c r="C10"/>
      <c r="D10"/>
      <c r="E10"/>
      <c r="F10"/>
      <c r="G10"/>
      <c r="H10"/>
      <c r="I10"/>
      <c r="J10"/>
    </row>
    <row r="11" spans="1:10" x14ac:dyDescent="0.4">
      <c r="A11" s="26" t="s">
        <v>29</v>
      </c>
      <c r="B11" s="35">
        <f>(A2-$B10)^2</f>
        <v>17.640000000000025</v>
      </c>
      <c r="C11" s="35">
        <f t="shared" ref="C11:F11" si="0">(B2-$B10)^2</f>
        <v>14.439999999999978</v>
      </c>
      <c r="D11" s="35">
        <f t="shared" si="0"/>
        <v>125.44000000000007</v>
      </c>
      <c r="E11" s="35">
        <f t="shared" si="0"/>
        <v>116.63999999999994</v>
      </c>
      <c r="F11" s="35">
        <f t="shared" si="0"/>
        <v>0.63999999999999546</v>
      </c>
      <c r="G11"/>
      <c r="H11" s="35">
        <f>SUM(B11:F11)/4</f>
        <v>68.7</v>
      </c>
      <c r="I11"/>
      <c r="J11"/>
    </row>
    <row r="12" spans="1:10" x14ac:dyDescent="0.4">
      <c r="A12" s="26" t="s">
        <v>0</v>
      </c>
      <c r="B12"/>
      <c r="C12"/>
      <c r="D12"/>
      <c r="E12"/>
      <c r="F12"/>
      <c r="G12"/>
      <c r="H12"/>
      <c r="I12"/>
      <c r="J12"/>
    </row>
    <row r="13" spans="1:10" x14ac:dyDescent="0.4">
      <c r="A13" s="22" t="s">
        <v>30</v>
      </c>
      <c r="B13">
        <v>0.95</v>
      </c>
      <c r="C13"/>
      <c r="D13"/>
      <c r="E13"/>
      <c r="F13"/>
      <c r="G13">
        <f>SUM(B11:F11)</f>
        <v>274.8</v>
      </c>
      <c r="H13"/>
      <c r="I13"/>
      <c r="J13"/>
    </row>
    <row r="14" spans="1:10" ht="14.7" x14ac:dyDescent="0.6">
      <c r="A14" s="26" t="s">
        <v>19</v>
      </c>
      <c r="B14" s="35">
        <f>_xlfn.T.INV.2T(1-B13,B8-1)</f>
        <v>2.776445105197793</v>
      </c>
      <c r="C14"/>
      <c r="D14"/>
      <c r="E14"/>
      <c r="F14"/>
      <c r="G14"/>
      <c r="H14"/>
      <c r="I14"/>
      <c r="J14"/>
    </row>
    <row r="15" spans="1:10" x14ac:dyDescent="0.4">
      <c r="A15" s="26" t="s">
        <v>20</v>
      </c>
      <c r="B15"/>
      <c r="C15" s="35">
        <f>B10-B14*SQRT(H11/B8)</f>
        <v>58.908410444410983</v>
      </c>
      <c r="D15"/>
      <c r="E15"/>
      <c r="F15"/>
      <c r="G15"/>
      <c r="H15"/>
      <c r="I15"/>
      <c r="J15"/>
    </row>
    <row r="16" spans="1:10" x14ac:dyDescent="0.4">
      <c r="A16" s="26" t="s">
        <v>21</v>
      </c>
      <c r="B16"/>
      <c r="C16" s="35">
        <f>B10+B14*SQRT(H11/B8)</f>
        <v>79.49158955558903</v>
      </c>
      <c r="D16"/>
      <c r="E16"/>
      <c r="F16"/>
      <c r="G16"/>
      <c r="H16"/>
      <c r="I16"/>
      <c r="J16"/>
    </row>
    <row r="17" spans="1:10" x14ac:dyDescent="0.4">
      <c r="A17" s="22"/>
      <c r="B17"/>
      <c r="C17"/>
      <c r="D17"/>
      <c r="E17"/>
      <c r="F17"/>
      <c r="G17"/>
      <c r="H17"/>
      <c r="I17"/>
      <c r="J17"/>
    </row>
    <row r="18" spans="1:10" x14ac:dyDescent="0.4">
      <c r="A18" s="27" t="s">
        <v>1</v>
      </c>
      <c r="B18"/>
      <c r="C18"/>
      <c r="D18"/>
      <c r="E18"/>
      <c r="F18"/>
      <c r="G18"/>
      <c r="H18"/>
      <c r="I18"/>
      <c r="J18"/>
    </row>
    <row r="19" spans="1:10" ht="14.7" x14ac:dyDescent="0.6">
      <c r="A19" s="26" t="s">
        <v>31</v>
      </c>
      <c r="B19">
        <v>60</v>
      </c>
      <c r="C19"/>
      <c r="D19"/>
      <c r="E19"/>
      <c r="F19"/>
      <c r="G19"/>
      <c r="H19"/>
      <c r="I19"/>
      <c r="J19"/>
    </row>
    <row r="20" spans="1:10" ht="14.7" x14ac:dyDescent="0.6">
      <c r="A20" s="26" t="s">
        <v>34</v>
      </c>
      <c r="B20">
        <v>60</v>
      </c>
      <c r="C20"/>
      <c r="D20"/>
      <c r="E20"/>
      <c r="F20"/>
      <c r="G20"/>
      <c r="H20"/>
      <c r="I20"/>
      <c r="J20"/>
    </row>
    <row r="21" spans="1:10" x14ac:dyDescent="0.4">
      <c r="A21"/>
      <c r="B21"/>
      <c r="C21"/>
      <c r="D21"/>
      <c r="E21"/>
      <c r="F21"/>
      <c r="G21"/>
      <c r="H21"/>
      <c r="I21"/>
      <c r="J21"/>
    </row>
    <row r="22" spans="1:10" x14ac:dyDescent="0.4">
      <c r="A22" s="6" t="s">
        <v>6</v>
      </c>
      <c r="B22">
        <v>0.01</v>
      </c>
      <c r="C22"/>
      <c r="D22"/>
      <c r="E22"/>
      <c r="F22"/>
      <c r="G22"/>
      <c r="H22"/>
      <c r="I22"/>
      <c r="J22"/>
    </row>
    <row r="23" spans="1:10" ht="27.75" customHeight="1" x14ac:dyDescent="0.6">
      <c r="A23" s="32" t="s">
        <v>8</v>
      </c>
      <c r="B23" s="35">
        <f>_xlfn.T.INV.2T(2*B22,B8-1)</f>
        <v>3.7469473879791968</v>
      </c>
      <c r="C23"/>
      <c r="D23"/>
      <c r="E23"/>
      <c r="F23"/>
      <c r="G23"/>
      <c r="H23"/>
      <c r="I23"/>
      <c r="J23"/>
    </row>
    <row r="24" spans="1:10" x14ac:dyDescent="0.4">
      <c r="A24"/>
      <c r="B24"/>
      <c r="C24"/>
      <c r="D24"/>
      <c r="E24"/>
      <c r="F24"/>
      <c r="G24"/>
      <c r="H24"/>
      <c r="I24"/>
      <c r="J24"/>
    </row>
    <row r="25" spans="1:10" x14ac:dyDescent="0.4">
      <c r="A25" s="26" t="s">
        <v>9</v>
      </c>
      <c r="B25" s="35">
        <f>(B10-B19)/SQRT(H11/B8)</f>
        <v>2.4819581882711197</v>
      </c>
      <c r="C25"/>
      <c r="D25" s="26" t="s">
        <v>32</v>
      </c>
      <c r="E25"/>
      <c r="F25"/>
      <c r="G25"/>
      <c r="H25"/>
      <c r="I25"/>
      <c r="J25"/>
    </row>
    <row r="26" spans="1:10" x14ac:dyDescent="0.4">
      <c r="A26"/>
      <c r="B26"/>
      <c r="C26"/>
      <c r="D26"/>
      <c r="E26"/>
      <c r="F26"/>
      <c r="G26"/>
      <c r="H26"/>
      <c r="I26"/>
      <c r="J26"/>
    </row>
    <row r="27" spans="1:10" x14ac:dyDescent="0.4">
      <c r="A27" s="26" t="s">
        <v>4</v>
      </c>
      <c r="B27"/>
      <c r="C27"/>
      <c r="D27"/>
      <c r="E27"/>
      <c r="F27"/>
      <c r="G27"/>
      <c r="H27"/>
      <c r="I27"/>
      <c r="J27"/>
    </row>
    <row r="28" spans="1:10" x14ac:dyDescent="0.4">
      <c r="A28" s="17" t="s">
        <v>106</v>
      </c>
      <c r="B28"/>
      <c r="C28"/>
      <c r="D28" s="26"/>
      <c r="E28"/>
      <c r="F28"/>
      <c r="G28"/>
      <c r="H28"/>
      <c r="I28"/>
      <c r="J28"/>
    </row>
    <row r="29" spans="1:10" x14ac:dyDescent="0.4">
      <c r="A29" s="26"/>
      <c r="B29" s="35"/>
      <c r="C29"/>
      <c r="D29" s="26"/>
      <c r="E29"/>
      <c r="F29"/>
      <c r="G29"/>
      <c r="H29"/>
      <c r="I29"/>
      <c r="J29"/>
    </row>
    <row r="30" spans="1:10" x14ac:dyDescent="0.4">
      <c r="A30" s="26" t="s">
        <v>11</v>
      </c>
      <c r="B30" s="35"/>
      <c r="C30"/>
      <c r="D30"/>
      <c r="E30"/>
      <c r="F30"/>
      <c r="G30"/>
      <c r="H30"/>
      <c r="I30"/>
      <c r="J30"/>
    </row>
    <row r="31" spans="1:10" x14ac:dyDescent="0.4">
      <c r="A31" s="22" t="s">
        <v>30</v>
      </c>
      <c r="B31" s="35">
        <v>0.9</v>
      </c>
      <c r="C31"/>
      <c r="D31"/>
      <c r="E31"/>
      <c r="F31"/>
      <c r="G31"/>
      <c r="H31"/>
      <c r="I31"/>
      <c r="J31"/>
    </row>
    <row r="32" spans="1:10" ht="14.7" x14ac:dyDescent="0.6">
      <c r="A32" s="32" t="s">
        <v>22</v>
      </c>
      <c r="B32">
        <f>_xlfn.CHISQ.INV.RT(B31+(1-B31)/2,B8-1)</f>
        <v>0.71072302139732446</v>
      </c>
      <c r="C32"/>
      <c r="D32"/>
      <c r="E32"/>
      <c r="F32" s="32"/>
      <c r="G32"/>
      <c r="H32"/>
      <c r="I32"/>
      <c r="J32"/>
    </row>
    <row r="33" spans="1:10" ht="14.7" x14ac:dyDescent="0.6">
      <c r="A33" s="32" t="s">
        <v>23</v>
      </c>
      <c r="B33">
        <f>_xlfn.CHISQ.INV.RT((1-B31)/2,B8-1)</f>
        <v>9.4877290367811575</v>
      </c>
      <c r="C33"/>
      <c r="D33"/>
      <c r="E33" s="26"/>
      <c r="F33"/>
      <c r="G33" s="26"/>
      <c r="H33"/>
      <c r="I33"/>
      <c r="J33"/>
    </row>
    <row r="34" spans="1:10" x14ac:dyDescent="0.4">
      <c r="A34" s="26" t="s">
        <v>20</v>
      </c>
      <c r="B34"/>
      <c r="C34">
        <f>(B8-1)*H11/B33</f>
        <v>28.963727667040299</v>
      </c>
      <c r="D34"/>
      <c r="E34"/>
      <c r="F34"/>
      <c r="G34"/>
      <c r="H34"/>
      <c r="I34"/>
      <c r="J34"/>
    </row>
    <row r="35" spans="1:10" x14ac:dyDescent="0.4">
      <c r="A35" s="26" t="s">
        <v>21</v>
      </c>
      <c r="B35"/>
      <c r="C35">
        <f>(B8-1)*H11/B32</f>
        <v>386.64851387496435</v>
      </c>
      <c r="D35"/>
      <c r="E35"/>
      <c r="F35"/>
      <c r="G35" s="8"/>
      <c r="H35" s="7"/>
      <c r="I35" s="8"/>
      <c r="J35"/>
    </row>
    <row r="36" spans="1:10" x14ac:dyDescent="0.4">
      <c r="A36" s="26"/>
      <c r="B36"/>
      <c r="C36"/>
      <c r="D36"/>
      <c r="E36"/>
      <c r="F36"/>
      <c r="G36"/>
      <c r="H36"/>
      <c r="I36"/>
      <c r="J36"/>
    </row>
    <row r="37" spans="1:10" x14ac:dyDescent="0.4">
      <c r="A37" s="26"/>
      <c r="B37"/>
      <c r="C37"/>
      <c r="D37"/>
      <c r="E37"/>
      <c r="F37"/>
      <c r="G37"/>
      <c r="H37"/>
      <c r="I37"/>
      <c r="J37"/>
    </row>
    <row r="38" spans="1:10" x14ac:dyDescent="0.4">
      <c r="A38" s="26"/>
      <c r="B38"/>
      <c r="C38"/>
      <c r="D38"/>
      <c r="E38"/>
      <c r="F38"/>
      <c r="G38"/>
      <c r="H38"/>
      <c r="I38"/>
      <c r="J38"/>
    </row>
    <row r="39" spans="1:10" x14ac:dyDescent="0.4">
      <c r="A39"/>
      <c r="B39"/>
      <c r="C39"/>
      <c r="D39"/>
      <c r="E39"/>
      <c r="F39"/>
      <c r="G39"/>
      <c r="H39"/>
      <c r="I39"/>
      <c r="J39"/>
    </row>
    <row r="40" spans="1:10" x14ac:dyDescent="0.4">
      <c r="A40"/>
      <c r="B40"/>
      <c r="C40"/>
      <c r="D40"/>
      <c r="E40"/>
      <c r="F40"/>
      <c r="G40"/>
      <c r="H40"/>
      <c r="I40"/>
      <c r="J40"/>
    </row>
    <row r="41" spans="1:10" x14ac:dyDescent="0.4">
      <c r="A41"/>
      <c r="B41"/>
      <c r="C41"/>
      <c r="D41"/>
      <c r="E41"/>
      <c r="F41"/>
      <c r="G41"/>
      <c r="H41"/>
      <c r="I41"/>
      <c r="J41"/>
    </row>
    <row r="42" spans="1:10" x14ac:dyDescent="0.4">
      <c r="A42"/>
      <c r="B42"/>
      <c r="C42"/>
      <c r="D42"/>
      <c r="E42"/>
      <c r="F42"/>
      <c r="G42"/>
      <c r="H42"/>
      <c r="I42"/>
      <c r="J42"/>
    </row>
    <row r="43" spans="1:10" x14ac:dyDescent="0.4">
      <c r="E43" s="26"/>
      <c r="F43" s="36"/>
      <c r="G43" s="37"/>
    </row>
    <row r="45" spans="1:10" x14ac:dyDescent="0.4">
      <c r="E45" s="18"/>
    </row>
    <row r="47" spans="1:10" x14ac:dyDescent="0.4">
      <c r="E47" s="26"/>
      <c r="F47" s="36"/>
      <c r="G47" s="37"/>
    </row>
    <row r="49" spans="5:7" x14ac:dyDescent="0.4">
      <c r="E49" s="18"/>
    </row>
    <row r="51" spans="5:7" x14ac:dyDescent="0.4">
      <c r="E51" s="26"/>
      <c r="F51" s="36"/>
      <c r="G51" s="37"/>
    </row>
    <row r="53" spans="5:7" x14ac:dyDescent="0.4">
      <c r="E53" s="18"/>
    </row>
    <row r="55" spans="5:7" x14ac:dyDescent="0.4">
      <c r="E55" s="26"/>
      <c r="F55" s="36"/>
      <c r="G55" s="37"/>
    </row>
    <row r="57" spans="5:7" x14ac:dyDescent="0.4">
      <c r="E57" s="18"/>
    </row>
    <row r="59" spans="5:7" x14ac:dyDescent="0.4">
      <c r="E59" s="18"/>
    </row>
    <row r="61" spans="5:7" x14ac:dyDescent="0.4">
      <c r="E61" s="18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Foglio3!Area_stampa</vt:lpstr>
      <vt:lpstr>Foglio4!Area_stampa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cp:lastPrinted>2010-12-01T13:54:57Z</cp:lastPrinted>
  <dcterms:created xsi:type="dcterms:W3CDTF">2010-11-23T22:03:56Z</dcterms:created>
  <dcterms:modified xsi:type="dcterms:W3CDTF">2023-07-12T15:58:12Z</dcterms:modified>
</cp:coreProperties>
</file>