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nno 2021-2022\"/>
    </mc:Choice>
  </mc:AlternateContent>
  <bookViews>
    <workbookView xWindow="240" yWindow="36" windowWidth="15480" windowHeight="9720" activeTab="2"/>
  </bookViews>
  <sheets>
    <sheet name="Foglio1" sheetId="12" r:id="rId1"/>
    <sheet name="Foglio2" sheetId="13" r:id="rId2"/>
    <sheet name="Foglio3" sheetId="10" r:id="rId3"/>
    <sheet name="Foglio4" sheetId="9" r:id="rId4"/>
    <sheet name="Foglio5" sheetId="14" r:id="rId5"/>
    <sheet name="Foglio6" sheetId="15" r:id="rId6"/>
  </sheets>
  <definedNames>
    <definedName name="_xlnm.Print_Area" localSheetId="3">Foglio4!#REF!</definedName>
  </definedNames>
  <calcPr calcId="152511"/>
</workbook>
</file>

<file path=xl/calcChain.xml><?xml version="1.0" encoding="utf-8"?>
<calcChain xmlns="http://schemas.openxmlformats.org/spreadsheetml/2006/main">
  <c r="M36" i="10" l="1"/>
  <c r="P27" i="10"/>
  <c r="N23" i="10"/>
  <c r="N15" i="10"/>
  <c r="L24" i="10"/>
  <c r="L23" i="10"/>
  <c r="L15" i="10"/>
  <c r="G24" i="10"/>
  <c r="N24" i="10" s="1"/>
  <c r="G23" i="10"/>
  <c r="G16" i="10"/>
  <c r="N16" i="10" s="1"/>
  <c r="G15" i="10"/>
  <c r="F24" i="10"/>
  <c r="F25" i="10"/>
  <c r="F26" i="10"/>
  <c r="F27" i="10"/>
  <c r="F23" i="10"/>
  <c r="F16" i="10"/>
  <c r="F17" i="10"/>
  <c r="F18" i="10"/>
  <c r="F15" i="10"/>
  <c r="E24" i="10"/>
  <c r="E25" i="10"/>
  <c r="E26" i="10"/>
  <c r="E23" i="10"/>
  <c r="E16" i="10"/>
  <c r="L16" i="10" s="1"/>
  <c r="E17" i="10"/>
  <c r="E18" i="10"/>
  <c r="E15" i="10"/>
  <c r="D26" i="10"/>
  <c r="D25" i="10"/>
  <c r="D24" i="10"/>
  <c r="D23" i="10"/>
  <c r="B22" i="14" l="1"/>
  <c r="F23" i="13"/>
  <c r="C29" i="12" l="1"/>
  <c r="B27" i="12"/>
  <c r="B25" i="12"/>
  <c r="I6" i="12"/>
  <c r="I7" i="12" s="1"/>
  <c r="I8" i="12" s="1"/>
  <c r="I5" i="12"/>
  <c r="I4" i="12"/>
  <c r="H9" i="12"/>
  <c r="H5" i="12"/>
  <c r="H6" i="12"/>
  <c r="H7" i="12"/>
  <c r="H8" i="12"/>
  <c r="H4" i="12"/>
  <c r="B23" i="12"/>
  <c r="B17" i="12"/>
  <c r="G9" i="12"/>
  <c r="F25" i="15" l="1"/>
  <c r="B22" i="15"/>
  <c r="I16" i="15"/>
  <c r="I14" i="15"/>
  <c r="I15" i="15"/>
  <c r="I13" i="15"/>
  <c r="I12" i="15"/>
  <c r="G16" i="15"/>
  <c r="G13" i="15"/>
  <c r="G14" i="15"/>
  <c r="G15" i="15"/>
  <c r="G12" i="15"/>
  <c r="F14" i="15"/>
  <c r="F15" i="15"/>
  <c r="F16" i="15"/>
  <c r="F13" i="15"/>
  <c r="F12" i="15"/>
  <c r="C13" i="15"/>
  <c r="C14" i="15"/>
  <c r="C15" i="15"/>
  <c r="C16" i="15"/>
  <c r="C12" i="15"/>
  <c r="C17" i="15" s="1"/>
  <c r="B17" i="15"/>
  <c r="C37" i="14"/>
  <c r="B35" i="14"/>
  <c r="B34" i="14"/>
  <c r="B31" i="14"/>
  <c r="B30" i="14"/>
  <c r="B29" i="14"/>
  <c r="N10" i="14"/>
  <c r="N6" i="14"/>
  <c r="N7" i="14"/>
  <c r="N8" i="14"/>
  <c r="N9" i="14"/>
  <c r="N5" i="14"/>
  <c r="M5" i="14"/>
  <c r="M10" i="14"/>
  <c r="M6" i="14"/>
  <c r="M7" i="14"/>
  <c r="M8" i="14"/>
  <c r="M9" i="14"/>
  <c r="E25" i="14"/>
  <c r="H6" i="14"/>
  <c r="H5" i="14"/>
  <c r="B34" i="13"/>
  <c r="B35" i="13"/>
  <c r="B36" i="13"/>
  <c r="B37" i="13"/>
  <c r="B38" i="13"/>
  <c r="B33" i="13"/>
  <c r="E22" i="13"/>
  <c r="E21" i="13"/>
  <c r="E20" i="13"/>
  <c r="E19" i="13"/>
  <c r="E18" i="13"/>
  <c r="E23" i="13" s="1"/>
  <c r="B23" i="13"/>
  <c r="C18" i="13"/>
  <c r="D18" i="13" s="1"/>
  <c r="F18" i="13" s="1"/>
  <c r="B19" i="12"/>
  <c r="G5" i="12"/>
  <c r="G6" i="12"/>
  <c r="G7" i="12"/>
  <c r="G8" i="12"/>
  <c r="G4" i="12"/>
  <c r="F5" i="12"/>
  <c r="F6" i="12"/>
  <c r="F7" i="12"/>
  <c r="F8" i="12"/>
  <c r="F4" i="12"/>
  <c r="E5" i="12"/>
  <c r="E6" i="12"/>
  <c r="E7" i="12"/>
  <c r="E8" i="12"/>
  <c r="E4" i="12"/>
  <c r="B15" i="12"/>
  <c r="B9" i="12"/>
  <c r="D5" i="12"/>
  <c r="D6" i="12"/>
  <c r="D7" i="12"/>
  <c r="D8" i="12"/>
  <c r="D4" i="12"/>
  <c r="C8" i="12"/>
  <c r="C7" i="12"/>
  <c r="D9" i="12"/>
  <c r="C4" i="12"/>
  <c r="D12" i="15" l="1"/>
  <c r="C19" i="13"/>
  <c r="D13" i="15" l="1"/>
  <c r="E12" i="15"/>
  <c r="H12" i="15" s="1"/>
  <c r="J12" i="15" s="1"/>
  <c r="C20" i="13"/>
  <c r="D19" i="13"/>
  <c r="F19" i="13" s="1"/>
  <c r="E13" i="15" l="1"/>
  <c r="H13" i="15" s="1"/>
  <c r="J13" i="15" s="1"/>
  <c r="D14" i="15"/>
  <c r="D20" i="13"/>
  <c r="F20" i="13" s="1"/>
  <c r="C21" i="13"/>
  <c r="B19" i="14"/>
  <c r="K10" i="14"/>
  <c r="K6" i="14"/>
  <c r="K7" i="14"/>
  <c r="K8" i="14"/>
  <c r="K9" i="14"/>
  <c r="K5" i="14"/>
  <c r="J7" i="14"/>
  <c r="J8" i="14"/>
  <c r="J9" i="14"/>
  <c r="J6" i="14"/>
  <c r="J5" i="14"/>
  <c r="H7" i="14"/>
  <c r="H8" i="14"/>
  <c r="H9" i="14"/>
  <c r="I9" i="14"/>
  <c r="I7" i="14"/>
  <c r="I8" i="14"/>
  <c r="I6" i="14"/>
  <c r="I5" i="14"/>
  <c r="G7" i="14"/>
  <c r="G8" i="14"/>
  <c r="G9" i="14" s="1"/>
  <c r="G6" i="14"/>
  <c r="G5" i="14"/>
  <c r="F6" i="14"/>
  <c r="F7" i="14"/>
  <c r="F8" i="14"/>
  <c r="F9" i="14"/>
  <c r="F5" i="14"/>
  <c r="E7" i="14"/>
  <c r="E8" i="14"/>
  <c r="E9" i="14" s="1"/>
  <c r="E6" i="14"/>
  <c r="E5" i="14"/>
  <c r="D10" i="14"/>
  <c r="D6" i="14"/>
  <c r="D7" i="14"/>
  <c r="D8" i="14"/>
  <c r="D9" i="14"/>
  <c r="D5" i="14"/>
  <c r="C9" i="14"/>
  <c r="C8" i="14"/>
  <c r="D15" i="15" l="1"/>
  <c r="E14" i="15"/>
  <c r="H14" i="15" s="1"/>
  <c r="J14" i="15" s="1"/>
  <c r="C22" i="13"/>
  <c r="D22" i="13" s="1"/>
  <c r="F22" i="13" s="1"/>
  <c r="D21" i="13"/>
  <c r="F21" i="13" s="1"/>
  <c r="B25" i="13" s="1"/>
  <c r="F34" i="10"/>
  <c r="R36" i="10"/>
  <c r="R31" i="10"/>
  <c r="R35" i="10"/>
  <c r="W35" i="10" s="1"/>
  <c r="R34" i="10"/>
  <c r="R29" i="10"/>
  <c r="D16" i="15" l="1"/>
  <c r="E16" i="15" s="1"/>
  <c r="H16" i="15" s="1"/>
  <c r="J16" i="15" s="1"/>
  <c r="E15" i="15"/>
  <c r="H15" i="15" s="1"/>
  <c r="J15" i="15" s="1"/>
  <c r="J17" i="15" s="1"/>
  <c r="B19" i="15" s="1"/>
  <c r="F33" i="10"/>
  <c r="R30" i="10" s="1"/>
  <c r="W30" i="10" s="1"/>
  <c r="G25" i="10" l="1"/>
  <c r="F19" i="10"/>
  <c r="E19" i="10"/>
  <c r="F30" i="10" s="1"/>
  <c r="H15" i="10" s="1"/>
  <c r="L17" i="10"/>
  <c r="D18" i="10"/>
  <c r="D17" i="10"/>
  <c r="D16" i="10"/>
  <c r="D15" i="10"/>
  <c r="K15" i="10" l="1"/>
  <c r="I15" i="10"/>
  <c r="J15" i="10" s="1"/>
  <c r="G26" i="10"/>
  <c r="N26" i="10" s="1"/>
  <c r="N25" i="10"/>
  <c r="L25" i="10"/>
  <c r="H18" i="10"/>
  <c r="K18" i="10" s="1"/>
  <c r="H16" i="10"/>
  <c r="K16" i="10" s="1"/>
  <c r="H17" i="10"/>
  <c r="K17" i="10" s="1"/>
  <c r="L18" i="10"/>
  <c r="M15" i="10" s="1"/>
  <c r="E27" i="10"/>
  <c r="F31" i="10" s="1"/>
  <c r="G17" i="10"/>
  <c r="F22" i="9"/>
  <c r="A28" i="9"/>
  <c r="B28" i="9"/>
  <c r="A29" i="9"/>
  <c r="B29" i="9"/>
  <c r="A30" i="9"/>
  <c r="B30" i="9"/>
  <c r="A31" i="9"/>
  <c r="B31" i="9"/>
  <c r="A32" i="9"/>
  <c r="B32" i="9"/>
  <c r="A33" i="9"/>
  <c r="B33" i="9"/>
  <c r="B27" i="9"/>
  <c r="A27" i="9"/>
  <c r="B19" i="9"/>
  <c r="D16" i="9"/>
  <c r="E16" i="9"/>
  <c r="E10" i="9"/>
  <c r="E11" i="9"/>
  <c r="E12" i="9"/>
  <c r="E13" i="9"/>
  <c r="E14" i="9"/>
  <c r="E15" i="9"/>
  <c r="E9" i="9"/>
  <c r="D15" i="9"/>
  <c r="D14" i="9"/>
  <c r="D13" i="9"/>
  <c r="D12" i="9"/>
  <c r="D11" i="9"/>
  <c r="D10" i="9"/>
  <c r="D9" i="9"/>
  <c r="C10" i="9"/>
  <c r="C11" i="9"/>
  <c r="C12" i="9"/>
  <c r="C13" i="9"/>
  <c r="C14" i="9"/>
  <c r="C15" i="9"/>
  <c r="C9" i="9"/>
  <c r="B11" i="9"/>
  <c r="B12" i="9" s="1"/>
  <c r="B13" i="9" s="1"/>
  <c r="B14" i="9" s="1"/>
  <c r="B15" i="9" s="1"/>
  <c r="B10" i="9"/>
  <c r="B9" i="9"/>
  <c r="A16" i="9"/>
  <c r="H26" i="10" l="1"/>
  <c r="K26" i="10" s="1"/>
  <c r="H25" i="10"/>
  <c r="K25" i="10" s="1"/>
  <c r="H23" i="10"/>
  <c r="H24" i="10"/>
  <c r="K24" i="10" s="1"/>
  <c r="M17" i="10"/>
  <c r="O17" i="10" s="1"/>
  <c r="G18" i="10"/>
  <c r="N18" i="10" s="1"/>
  <c r="N17" i="10"/>
  <c r="O15" i="10"/>
  <c r="P15" i="10" s="1"/>
  <c r="M18" i="10"/>
  <c r="I16" i="10"/>
  <c r="J16" i="10" s="1"/>
  <c r="I17" i="10"/>
  <c r="J17" i="10" s="1"/>
  <c r="I18" i="10"/>
  <c r="J18" i="10" s="1"/>
  <c r="M16" i="10"/>
  <c r="O16" i="10" s="1"/>
  <c r="P16" i="10" s="1"/>
  <c r="L26" i="10"/>
  <c r="M23" i="10" s="1"/>
  <c r="O23" i="10" s="1"/>
  <c r="P23" i="10" s="1"/>
  <c r="P17" i="10" l="1"/>
  <c r="P19" i="10" s="1"/>
  <c r="M35" i="10" s="1"/>
  <c r="I23" i="10"/>
  <c r="J23" i="10" s="1"/>
  <c r="K23" i="10"/>
  <c r="O18" i="10"/>
  <c r="P18" i="10" s="1"/>
  <c r="I26" i="10"/>
  <c r="J26" i="10" s="1"/>
  <c r="I25" i="10"/>
  <c r="J25" i="10" s="1"/>
  <c r="M26" i="10"/>
  <c r="M24" i="10"/>
  <c r="O24" i="10" s="1"/>
  <c r="P24" i="10" s="1"/>
  <c r="I24" i="10"/>
  <c r="J24" i="10" s="1"/>
  <c r="J19" i="10"/>
  <c r="E36" i="10" s="1"/>
  <c r="E39" i="10" s="1"/>
  <c r="E42" i="10" s="1"/>
  <c r="M25" i="10"/>
  <c r="O25" i="10" s="1"/>
  <c r="P25" i="10" s="1"/>
  <c r="K19" i="10"/>
  <c r="J27" i="10" l="1"/>
  <c r="O26" i="10"/>
  <c r="P26" i="10" s="1"/>
  <c r="K27" i="10"/>
  <c r="M30" i="10"/>
  <c r="E37" i="10"/>
  <c r="E40" i="10" s="1"/>
  <c r="E43" i="10" s="1"/>
  <c r="M31" i="10" l="1"/>
</calcChain>
</file>

<file path=xl/sharedStrings.xml><?xml version="1.0" encoding="utf-8"?>
<sst xmlns="http://schemas.openxmlformats.org/spreadsheetml/2006/main" count="269" uniqueCount="159">
  <si>
    <t>a)</t>
  </si>
  <si>
    <t>c)</t>
  </si>
  <si>
    <t>C</t>
  </si>
  <si>
    <t>In 7 aziende di uno stesso settore, presenti in una certa regione, si osservano i seguenti valori di fatturato annuo (in migliaia di euro):</t>
  </si>
  <si>
    <t>b) Si rappresenti graficamente il grado di concentrazione del fatturato.</t>
  </si>
  <si>
    <t>c) Si determini il valore del fatturato di ciascuna azienda nel caso di equidistribuzione.</t>
  </si>
  <si>
    <t>d) Sul grafico al punto b) si aggiunga la curva che si otterrebbe nel caso di massima concentrazione.</t>
  </si>
  <si>
    <t>a) Si calcoli un opportuno indice del grado di concentrazione del fatturato e se ne commenti il risultato.</t>
  </si>
  <si>
    <t>Osservazioni</t>
  </si>
  <si>
    <t>Ai</t>
  </si>
  <si>
    <t>Qi</t>
  </si>
  <si>
    <t>Fi</t>
  </si>
  <si>
    <t>Fi-Qi</t>
  </si>
  <si>
    <t>Indice di Gini =</t>
  </si>
  <si>
    <t>grado di concentrazione piuttosto basso</t>
  </si>
  <si>
    <t>b) e d)</t>
  </si>
  <si>
    <t>Qi teoriche</t>
  </si>
  <si>
    <t>Fatturato in caso di equidistribuzione =</t>
  </si>
  <si>
    <t>totale</t>
  </si>
  <si>
    <t>Ateco 2007</t>
  </si>
  <si>
    <t>Classe di addetti</t>
  </si>
  <si>
    <t/>
  </si>
  <si>
    <t>0-9</t>
  </si>
  <si>
    <t>10-49</t>
  </si>
  <si>
    <t>50-249</t>
  </si>
  <si>
    <t>250 e più</t>
  </si>
  <si>
    <t>La tabella mostra la distribuzione in classi di addetti delle aziende del settore manifatturiero e del settore costruzioni</t>
  </si>
  <si>
    <t>Utilizzando gli indicatori che si ritengono più utili si confronti la struttura delle aziende nei due settori</t>
  </si>
  <si>
    <t>valori centrali</t>
  </si>
  <si>
    <t>xi*ni</t>
  </si>
  <si>
    <t>F</t>
  </si>
  <si>
    <t>numero medio di addetti settore manifatturiero =</t>
  </si>
  <si>
    <t>numero medio di addetti settore costruzioni =</t>
  </si>
  <si>
    <t>fi</t>
  </si>
  <si>
    <t>numero mediano di addetti settore manifatturiero =</t>
  </si>
  <si>
    <t>numero mediano di addetti settore costruzioni =</t>
  </si>
  <si>
    <t>(xi-xm)</t>
  </si>
  <si>
    <t>(xi-xm)^2</t>
  </si>
  <si>
    <t>(xi-xm)^2*ni</t>
  </si>
  <si>
    <t>varianza settore manifatturiero =</t>
  </si>
  <si>
    <t>varianza settore costruzioni =</t>
  </si>
  <si>
    <t>deviazione standard manifatturiero =</t>
  </si>
  <si>
    <t>deviazione standard costruzioni =</t>
  </si>
  <si>
    <t xml:space="preserve">coefficiente di variazione manifatturiero = </t>
  </si>
  <si>
    <t>coefficiente di variazione costruzioni =</t>
  </si>
  <si>
    <t>(xi-xm)^3*ni</t>
  </si>
  <si>
    <t>indice di Fisher settore manifatturiero =</t>
  </si>
  <si>
    <t>indice di Fisher settore costruzioni =</t>
  </si>
  <si>
    <t>Indice di Gini settore costruzioni =</t>
  </si>
  <si>
    <t>Indice di Gini settore manifatturiero =</t>
  </si>
  <si>
    <t xml:space="preserve">Le imprese manifatturiere marchigiane appaiono in media più grandi delle imprese del settore costruzioni. Il confronto risente però in parte </t>
  </si>
  <si>
    <t xml:space="preserve">del fatto che nel settore manifatturiero sono presenti un numero limitato di imprese di dimensioni molto grandi che pesano sul calcolo della media, </t>
  </si>
  <si>
    <t>facendo lievitare il valore di quest'ultima. E' utile per confrontare la dimensione delle imprese dei due settori ricorrere, dunque, anche al confronto</t>
  </si>
  <si>
    <t xml:space="preserve">tra le rispettive dimensioni mediane. In termini di mediane, la disparità tra i due settori si riduce: il 50% delle aziende del settore manifatturiero ha un </t>
  </si>
  <si>
    <t>numero di addetti inferiore a 5,8, mentre il 50% delle imprese di costruzioni presenta un numero di addetti inferiore a 4,4.</t>
  </si>
  <si>
    <t xml:space="preserve">Per quanto riguarda la dispersione della distribuzione rispetto al numero di addetti delle due tipologie di imprese, la deviazione standard delle imprese manifatturiere </t>
  </si>
  <si>
    <t>risulta molto più grande della deviazione standard delle imprese di costruzione, rivelando una maggior variabilità, in termini di numero di addetti, tra le imprese del primo settore.</t>
  </si>
  <si>
    <t xml:space="preserve">Un confronto più equo della dispersione delle due distribuzioni deve tuttavia tenere conto della differenza tra le medie dei due collettivi. Si può quindi utilizzare il </t>
  </si>
  <si>
    <t xml:space="preserve">coefficiente di variazione, dato dal rapporto tra deviazioni standard e medie. Si nota in questo caso, comunque, una maggior differenziazione in termini di numero di </t>
  </si>
  <si>
    <t>addetti, tra le imprese del manifatturiero.</t>
  </si>
  <si>
    <t xml:space="preserve">L'indice di Fisher rivela una notevole asimmetria positiva per entrambe le distribuzioni, non solo quella relativa alle imprese del manifatturiero: </t>
  </si>
  <si>
    <t>entrambi i settori sono caratterizzati principalmente da imprese di dimensioni piuttosto ridotte (con al massimo 9 addetti, rispettivamente, nel 79% e nel 97% dei casi) e da rare imprese di dimensione piuttosto ampia.</t>
  </si>
  <si>
    <t xml:space="preserve">L'indice di Gini indica un grado di concentrazione abbastanza forte degli addetti tra le aziende del settore manifatturiero. Una parte rilevante degli addetti totali di questo </t>
  </si>
  <si>
    <t xml:space="preserve">settore viene infatti impiegata all'interno dell'esiguo numero di imprese di grandi dimensioni. </t>
  </si>
  <si>
    <t>Si consideri la seguente distribuzione di impresi maceratesi per numero di addetti</t>
  </si>
  <si>
    <t>Classi di addetti</t>
  </si>
  <si>
    <t>Numero di aziende</t>
  </si>
  <si>
    <t>0-2</t>
  </si>
  <si>
    <t>20-99</t>
  </si>
  <si>
    <t>100-1500</t>
  </si>
  <si>
    <t>3-9</t>
  </si>
  <si>
    <t>10-19</t>
  </si>
  <si>
    <t>a)     Si calcoli lo scarto quadratico medio della distribuzione</t>
  </si>
  <si>
    <t>b)     Si calcoli l’indice di asimmetria basato sui quartili e la mediana</t>
  </si>
  <si>
    <t>La tabella sottostante riporta il numero di aziende marchigiane che risultano attive nel 2011, per provincia.</t>
  </si>
  <si>
    <t>Provincia</t>
  </si>
  <si>
    <t>Numero aziende</t>
  </si>
  <si>
    <t>Pesaro e Urbino</t>
  </si>
  <si>
    <t>Ancona</t>
  </si>
  <si>
    <t>Macerata</t>
  </si>
  <si>
    <t>Ascoli Piceno</t>
  </si>
  <si>
    <t>Fermo</t>
  </si>
  <si>
    <t>a) Si calcoli un indice opportuno per misurare la concentrazione di aziende tra le province Marchigiane.</t>
  </si>
  <si>
    <t>b) Sapendo che il valore dell'indice nel 2001 è stato di 0,22, cosa si può concludere sul grado di concentrazione delle aziende marchigiane?</t>
  </si>
  <si>
    <t>c) Si disegni la curva di Lorenz riportando sul grafico anche la retta di equidistribuzione e quella di massima concentrazione.</t>
  </si>
  <si>
    <t>d) Per quale motivo le Fi non possono essere minori delle Qi?</t>
  </si>
  <si>
    <t>Q1 settore manifatturiero =</t>
  </si>
  <si>
    <t>Me settore manifatturiero =</t>
  </si>
  <si>
    <t>Q3 settore manifatturiero =</t>
  </si>
  <si>
    <t>Q1 settore costruzioni =</t>
  </si>
  <si>
    <t>Me settore costruzioni =</t>
  </si>
  <si>
    <t>Q3 settore costruzioni =</t>
  </si>
  <si>
    <t>Indice di asimmetria beta_2 =</t>
  </si>
  <si>
    <t xml:space="preserve">Si noti infine come l'indice di asimmetria beta_2 non sia indicato in questo contesto. Cadendo infatti i tre quartili tutti nella stessa classe per le due distribuzioni, </t>
  </si>
  <si>
    <t>per costruzione il primo e il terzo quartile saranno equidistanti dalla mediana, dando come risultato un indice pari a 0 nonostante sia evidente che le due distribuzioni presentano una forte asimmetria positiva.</t>
  </si>
  <si>
    <t>La seguente tabella presenta la distribuzione dei comuni marchigiani per classi di ampiezza demografica:</t>
  </si>
  <si>
    <t xml:space="preserve">Ampiezza demografica </t>
  </si>
  <si>
    <t>(in migliaia)</t>
  </si>
  <si>
    <t>Numero di comuni</t>
  </si>
  <si>
    <t>Meno di 1</t>
  </si>
  <si>
    <t>Oltre 30</t>
  </si>
  <si>
    <t>Totale</t>
  </si>
  <si>
    <t>1-2</t>
  </si>
  <si>
    <t>2-5</t>
  </si>
  <si>
    <t>5-30</t>
  </si>
  <si>
    <t xml:space="preserve">1.Calcolare il rapporto di concentrazione della popolazione nei comuni marchigiani e rappresentare la spezzata di Lorenz. </t>
  </si>
  <si>
    <t>2.Si calcoli l’ampiezza mediana.</t>
  </si>
  <si>
    <t>3. Quale dovrebbe essere il numero residenti di ciascun comune nel caso di equidistribuzione?</t>
  </si>
  <si>
    <t>4. Calcolare l'indice di asimmetria di Fisher</t>
  </si>
  <si>
    <t xml:space="preserve">5. Calcolare l’indice di asimmetria basato sulle statistiche d’ordine.
</t>
  </si>
  <si>
    <t xml:space="preserve">Per un gruppo di 100 soggetti si ha la seguente distribuzione del reddito: </t>
  </si>
  <si>
    <t xml:space="preserve">1.Si rappresenti graficamente la curva di concentrazione del reddito e si calcoli l’indice di concentrazione di Gini, commentando poi i risultati ottenuti. </t>
  </si>
  <si>
    <t>2.Si calcoli il reddito del decile più povero del collettivo e il reddito del decile più ricco del collettivo.</t>
  </si>
  <si>
    <t>3.Quale dovrebbe essere il reddito di ciascun individuo nel caso di equidistribuzione?</t>
  </si>
  <si>
    <t>Reddito</t>
  </si>
  <si>
    <t>Individui</t>
  </si>
  <si>
    <t>xi</t>
  </si>
  <si>
    <t>Ni</t>
  </si>
  <si>
    <r>
      <t>Q</t>
    </r>
    <r>
      <rPr>
        <vertAlign val="subscript"/>
        <sz val="10"/>
        <rFont val="Arial"/>
        <family val="2"/>
      </rPr>
      <t>i+1</t>
    </r>
    <r>
      <rPr>
        <sz val="10"/>
        <rFont val="Arial"/>
        <family val="2"/>
      </rPr>
      <t xml:space="preserve"> +Q</t>
    </r>
    <r>
      <rPr>
        <vertAlign val="subscript"/>
        <sz val="10"/>
        <rFont val="Arial"/>
        <family val="2"/>
      </rPr>
      <t>i</t>
    </r>
  </si>
  <si>
    <r>
      <t>F</t>
    </r>
    <r>
      <rPr>
        <vertAlign val="subscript"/>
        <sz val="10"/>
        <rFont val="Arial"/>
        <family val="2"/>
      </rPr>
      <t>i+1</t>
    </r>
    <r>
      <rPr>
        <sz val="10"/>
        <rFont val="Arial"/>
        <family val="2"/>
      </rPr>
      <t xml:space="preserve"> - F</t>
    </r>
    <r>
      <rPr>
        <vertAlign val="subscript"/>
        <sz val="10"/>
        <rFont val="Arial"/>
        <family val="2"/>
      </rPr>
      <t>i</t>
    </r>
  </si>
  <si>
    <r>
      <t>(Q</t>
    </r>
    <r>
      <rPr>
        <vertAlign val="subscript"/>
        <sz val="10"/>
        <rFont val="Arial"/>
        <family val="2"/>
      </rPr>
      <t>i+1</t>
    </r>
    <r>
      <rPr>
        <sz val="10"/>
        <rFont val="Arial"/>
        <family val="2"/>
      </rPr>
      <t xml:space="preserve"> +Q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)(F</t>
    </r>
    <r>
      <rPr>
        <vertAlign val="subscript"/>
        <sz val="10"/>
        <rFont val="Arial"/>
        <family val="2"/>
      </rPr>
      <t>i+1</t>
    </r>
    <r>
      <rPr>
        <sz val="10"/>
        <rFont val="Arial"/>
        <family val="2"/>
      </rPr>
      <t>-F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</t>
    </r>
  </si>
  <si>
    <t xml:space="preserve">1. </t>
  </si>
  <si>
    <t xml:space="preserve">R = </t>
  </si>
  <si>
    <t>b)</t>
  </si>
  <si>
    <t>Numero teorico di addetti</t>
  </si>
  <si>
    <t>Me =</t>
  </si>
  <si>
    <t>x medio =</t>
  </si>
  <si>
    <t>(xi-xmedio)</t>
  </si>
  <si>
    <t>(xi-xmedio)^2</t>
  </si>
  <si>
    <t>(xi-xmedio)^2*ni</t>
  </si>
  <si>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</si>
  <si>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=</t>
    </r>
  </si>
  <si>
    <t>Q1 =</t>
  </si>
  <si>
    <t>Q3 =</t>
  </si>
  <si>
    <t>Indice di asimmetria =</t>
  </si>
  <si>
    <t>I dati presentano una moderata asimmetria positiva</t>
  </si>
  <si>
    <t xml:space="preserve"> Esiste un moderato grado di concentrazione delle aziende marchigiane nelle diverse province.</t>
  </si>
  <si>
    <t>Il valore osservato nel 2011 è solo impercettibilmente più piccolo di quello osservato nel 2001. Il grado di concentrazione delle imprese marchigiane nelle province è rimasto sostanzialmente invariato.</t>
  </si>
  <si>
    <r>
      <t>F</t>
    </r>
    <r>
      <rPr>
        <vertAlign val="subscript"/>
        <sz val="10"/>
        <rFont val="Arial"/>
        <family val="2"/>
      </rPr>
      <t>i</t>
    </r>
  </si>
  <si>
    <t xml:space="preserve">2. </t>
  </si>
  <si>
    <t>3.</t>
  </si>
  <si>
    <t>Numero di residenti per comune in caso di equidistribuzione =</t>
  </si>
  <si>
    <t>4.</t>
  </si>
  <si>
    <t>(x-xmedio)^3*ni</t>
  </si>
  <si>
    <t>(x-xmedio)^2*ni</t>
  </si>
  <si>
    <t>varianza =</t>
  </si>
  <si>
    <t>deviazione standard=</t>
  </si>
  <si>
    <t>Indice di Fischer =</t>
  </si>
  <si>
    <t>5.</t>
  </si>
  <si>
    <t>La distribuzione presenta una moderata asimmetria positiva</t>
  </si>
  <si>
    <t>R =</t>
  </si>
  <si>
    <t>D1 =</t>
  </si>
  <si>
    <t>D9 =</t>
  </si>
  <si>
    <t>Reddito individuale in caso di equidistribuzione =</t>
  </si>
  <si>
    <t>M: attività manifatturiere</t>
  </si>
  <si>
    <t>C: costruzioni</t>
  </si>
  <si>
    <t>(F_(i+1)-F(i))</t>
  </si>
  <si>
    <t>(Q_(i+1)+Q(i))</t>
  </si>
  <si>
    <t>[(F_(i+1)-F(i))]*[(Q_(i+1)+Q(i))]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</si>
</sst>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b/>
      <sz val="9"/>
      <color indexed="10"/>
      <name val="Courier New"/>
      <family val="3"/>
    </font>
    <font>
      <b/>
      <sz val="8"/>
      <color rgb="FFFF0000"/>
      <name val="Verdana"/>
      <family val="2"/>
    </font>
    <font>
      <b/>
      <sz val="12"/>
      <color rgb="FFFF0000"/>
      <name val="Times New Roman"/>
      <family val="1"/>
    </font>
    <font>
      <b/>
      <sz val="12"/>
      <color rgb="FFFF0000"/>
      <name val="Arial"/>
      <family val="2"/>
    </font>
    <font>
      <vertAlign val="subscript"/>
      <sz val="10"/>
      <name val="Arial"/>
      <family val="2"/>
    </font>
    <font>
      <sz val="12"/>
      <name val="Times New Roman"/>
      <family val="1"/>
    </font>
    <font>
      <vertAlign val="superscript"/>
      <sz val="10"/>
      <name val="Arial"/>
      <family val="2"/>
    </font>
    <font>
      <sz val="10"/>
      <name val="Symbol"/>
      <family val="1"/>
      <charset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8" borderId="9" applyNumberFormat="0" applyFont="0" applyAlignment="0" applyProtection="0"/>
  </cellStyleXfs>
  <cellXfs count="65">
    <xf numFmtId="0" fontId="0" fillId="0" borderId="0" xfId="0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5" fillId="0" borderId="0" xfId="0" applyFont="1" applyFill="1" applyBorder="1"/>
    <xf numFmtId="164" fontId="0" fillId="0" borderId="0" xfId="0" applyNumberFormat="1" applyBorder="1"/>
    <xf numFmtId="0" fontId="4" fillId="0" borderId="0" xfId="0" quotePrefix="1" applyFont="1" applyBorder="1"/>
    <xf numFmtId="0" fontId="6" fillId="0" borderId="0" xfId="0" applyFont="1" applyBorder="1"/>
    <xf numFmtId="0" fontId="4" fillId="0" borderId="0" xfId="0" applyFont="1" applyBorder="1" applyAlignment="1"/>
    <xf numFmtId="0" fontId="2" fillId="0" borderId="0" xfId="0" applyFont="1" applyBorder="1"/>
    <xf numFmtId="0" fontId="6" fillId="0" borderId="0" xfId="0" applyFont="1" applyFill="1" applyBorder="1"/>
    <xf numFmtId="0" fontId="7" fillId="0" borderId="0" xfId="0" applyFont="1"/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0" fontId="7" fillId="0" borderId="0" xfId="0" applyFont="1" applyBorder="1"/>
    <xf numFmtId="0" fontId="7" fillId="0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quotePrefix="1" applyFont="1" applyBorder="1" applyAlignment="1">
      <alignment horizontal="center"/>
    </xf>
    <xf numFmtId="0" fontId="2" fillId="0" borderId="0" xfId="0" quotePrefix="1" applyFont="1" applyBorder="1"/>
    <xf numFmtId="0" fontId="0" fillId="0" borderId="0" xfId="0"/>
    <xf numFmtId="0" fontId="26" fillId="33" borderId="11" xfId="0" applyFont="1" applyFill="1" applyBorder="1" applyAlignment="1">
      <alignment horizontal="center" vertical="top" wrapText="1"/>
    </xf>
    <xf numFmtId="0" fontId="25" fillId="34" borderId="11" xfId="0" applyFont="1" applyFill="1" applyBorder="1" applyAlignment="1">
      <alignment wrapText="1"/>
    </xf>
    <xf numFmtId="0" fontId="28" fillId="35" borderId="11" xfId="0" applyFont="1" applyFill="1" applyBorder="1" applyAlignment="1">
      <alignment horizontal="center"/>
    </xf>
    <xf numFmtId="0" fontId="24" fillId="34" borderId="11" xfId="0" applyFont="1" applyFill="1" applyBorder="1" applyAlignment="1">
      <alignment vertical="top" wrapText="1"/>
    </xf>
    <xf numFmtId="0" fontId="3" fillId="0" borderId="11" xfId="0" applyNumberFormat="1" applyFont="1" applyBorder="1" applyAlignment="1">
      <alignment horizontal="right"/>
    </xf>
    <xf numFmtId="0" fontId="3" fillId="36" borderId="11" xfId="0" applyNumberFormat="1" applyFont="1" applyFill="1" applyBorder="1" applyAlignment="1">
      <alignment horizontal="right"/>
    </xf>
    <xf numFmtId="0" fontId="29" fillId="37" borderId="0" xfId="0" applyFont="1" applyFill="1" applyBorder="1" applyAlignment="1">
      <alignment vertical="top"/>
    </xf>
    <xf numFmtId="0" fontId="30" fillId="0" borderId="0" xfId="0" applyFont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0" fontId="30" fillId="0" borderId="0" xfId="0" applyFont="1"/>
    <xf numFmtId="0" fontId="7" fillId="0" borderId="1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6" fontId="7" fillId="0" borderId="16" xfId="0" quotePrefix="1" applyNumberFormat="1" applyFont="1" applyBorder="1" applyAlignment="1">
      <alignment vertical="center"/>
    </xf>
    <xf numFmtId="17" fontId="7" fillId="0" borderId="16" xfId="0" quotePrefix="1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0" xfId="0" applyFont="1" applyAlignment="1"/>
    <xf numFmtId="0" fontId="31" fillId="0" borderId="24" xfId="0" applyFont="1" applyBorder="1" applyAlignment="1">
      <alignment horizontal="center" vertical="center" wrapText="1" readingOrder="1"/>
    </xf>
    <xf numFmtId="0" fontId="31" fillId="0" borderId="25" xfId="0" applyFont="1" applyBorder="1" applyAlignment="1">
      <alignment horizontal="center" vertical="center" wrapText="1" readingOrder="1"/>
    </xf>
    <xf numFmtId="0" fontId="31" fillId="0" borderId="23" xfId="0" applyFont="1" applyBorder="1" applyAlignment="1">
      <alignment horizontal="center" vertical="center" wrapText="1" readingOrder="1"/>
    </xf>
    <xf numFmtId="0" fontId="31" fillId="0" borderId="23" xfId="0" applyFont="1" applyBorder="1" applyAlignment="1">
      <alignment horizontal="center" wrapText="1" readingOrder="1"/>
    </xf>
    <xf numFmtId="16" fontId="31" fillId="0" borderId="23" xfId="0" quotePrefix="1" applyNumberFormat="1" applyFont="1" applyBorder="1" applyAlignment="1">
      <alignment horizontal="center" vertical="center" wrapText="1" readingOrder="1"/>
    </xf>
    <xf numFmtId="17" fontId="31" fillId="0" borderId="23" xfId="0" quotePrefix="1" applyNumberFormat="1" applyFont="1" applyBorder="1" applyAlignment="1">
      <alignment horizontal="center" vertical="center" wrapText="1" readingOrder="1"/>
    </xf>
    <xf numFmtId="0" fontId="2" fillId="0" borderId="0" xfId="0" applyFont="1" applyAlignment="1"/>
    <xf numFmtId="0" fontId="3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7" fillId="33" borderId="12" xfId="0" applyFont="1" applyFill="1" applyBorder="1" applyAlignment="1">
      <alignment horizontal="right" vertical="center" wrapText="1"/>
    </xf>
    <xf numFmtId="0" fontId="27" fillId="33" borderId="13" xfId="0" applyFont="1" applyFill="1" applyBorder="1" applyAlignment="1">
      <alignment horizontal="right" vertical="center" wrapText="1"/>
    </xf>
    <xf numFmtId="0" fontId="31" fillId="0" borderId="24" xfId="0" applyFont="1" applyBorder="1" applyAlignment="1">
      <alignment horizontal="center" vertical="center" wrapText="1" readingOrder="1"/>
    </xf>
    <xf numFmtId="0" fontId="31" fillId="0" borderId="25" xfId="0" applyFont="1" applyBorder="1" applyAlignment="1">
      <alignment horizontal="center" vertical="center" wrapText="1" readingOrder="1"/>
    </xf>
    <xf numFmtId="0" fontId="26" fillId="37" borderId="11" xfId="0" applyFont="1" applyFill="1" applyBorder="1" applyAlignment="1">
      <alignment horizontal="center" vertical="top" wrapText="1"/>
    </xf>
    <xf numFmtId="0" fontId="3" fillId="37" borderId="11" xfId="0" applyNumberFormat="1" applyFont="1" applyFill="1" applyBorder="1" applyAlignment="1">
      <alignment horizontal="right"/>
    </xf>
    <xf numFmtId="0" fontId="24" fillId="34" borderId="0" xfId="0" applyFont="1" applyFill="1" applyBorder="1" applyAlignment="1">
      <alignment vertical="top" wrapText="1"/>
    </xf>
    <xf numFmtId="0" fontId="28" fillId="35" borderId="0" xfId="0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right"/>
    </xf>
  </cellXfs>
  <cellStyles count="42">
    <cellStyle name="20% - Colore 1" xfId="18" builtinId="30" customBuiltin="1"/>
    <cellStyle name="20% - Colore 2" xfId="22" builtinId="34" customBuiltin="1"/>
    <cellStyle name="20% - Colore 3" xfId="26" builtinId="38" customBuiltin="1"/>
    <cellStyle name="20% - Colore 4" xfId="30" builtinId="42" customBuiltin="1"/>
    <cellStyle name="20% - Colore 5" xfId="34" builtinId="46" customBuiltin="1"/>
    <cellStyle name="20% - Colore 6" xfId="38" builtinId="50" customBuiltin="1"/>
    <cellStyle name="40% - Colore 1" xfId="19" builtinId="31" customBuiltin="1"/>
    <cellStyle name="40% - Colore 2" xfId="23" builtinId="35" customBuiltin="1"/>
    <cellStyle name="40% - Colore 3" xfId="27" builtinId="39" customBuiltin="1"/>
    <cellStyle name="40% - Colore 4" xfId="31" builtinId="43" customBuiltin="1"/>
    <cellStyle name="40% - Colore 5" xfId="35" builtinId="47" customBuiltin="1"/>
    <cellStyle name="40% - Colore 6" xfId="39" builtinId="51" customBuiltin="1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 2" xfId="41"/>
    <cellStyle name="Output" xfId="10" builtinId="21" customBuiltin="1"/>
    <cellStyle name="Testo avviso" xfId="14" builtinId="11" customBuiltin="1"/>
    <cellStyle name="Testo descrittivo" xfId="15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6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di Lorenz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Curva di Lorenz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Foglio2!$E$17:$E$22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Foglio2!$D$17:$D$22</c:f>
              <c:numCache>
                <c:formatCode>General</c:formatCode>
                <c:ptCount val="6"/>
                <c:pt idx="0">
                  <c:v>0</c:v>
                </c:pt>
                <c:pt idx="1">
                  <c:v>0.12488392979465088</c:v>
                </c:pt>
                <c:pt idx="2">
                  <c:v>0.25760735542599666</c:v>
                </c:pt>
                <c:pt idx="3">
                  <c:v>0.47370343872254272</c:v>
                </c:pt>
                <c:pt idx="4">
                  <c:v>0.71957438387651651</c:v>
                </c:pt>
                <c:pt idx="5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Retta di equidistribuzione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(Foglio2!$D$17,Foglio2!$D$22)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(Foglio2!$E$17,Foglio2!$E$22)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>Curva di max concentrazione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Foglio2!$B$33:$B$38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Foglio2!$A$33:$A$38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30816"/>
        <c:axId val="-4828096"/>
      </c:scatterChart>
      <c:valAx>
        <c:axId val="-483081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4828096"/>
        <c:crosses val="autoZero"/>
        <c:crossBetween val="midCat"/>
      </c:valAx>
      <c:valAx>
        <c:axId val="-48280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4830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Curva di Lorenz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Retta di equidistribuzione</c:v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(Foglio4!$A$26,Foglio4!$A$33)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(Foglio4!$B$26,Foglio4!$B$33)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Curva di Lorenz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Foglio4!$A$26:$A$33</c:f>
              <c:numCache>
                <c:formatCode>General</c:formatCode>
                <c:ptCount val="8"/>
                <c:pt idx="0">
                  <c:v>0</c:v>
                </c:pt>
                <c:pt idx="1">
                  <c:v>0.14285714285714285</c:v>
                </c:pt>
                <c:pt idx="2">
                  <c:v>0.2857142857142857</c:v>
                </c:pt>
                <c:pt idx="3">
                  <c:v>0.42857142857142855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0.8571428571428571</c:v>
                </c:pt>
                <c:pt idx="7">
                  <c:v>1</c:v>
                </c:pt>
              </c:numCache>
            </c:numRef>
          </c:xVal>
          <c:yVal>
            <c:numRef>
              <c:f>Foglio4!$B$26:$B$33</c:f>
              <c:numCache>
                <c:formatCode>General</c:formatCode>
                <c:ptCount val="8"/>
                <c:pt idx="0">
                  <c:v>0</c:v>
                </c:pt>
                <c:pt idx="1">
                  <c:v>0.10843373493975904</c:v>
                </c:pt>
                <c:pt idx="2">
                  <c:v>0.23055859802847756</c:v>
                </c:pt>
                <c:pt idx="3">
                  <c:v>0.36363636363636365</c:v>
                </c:pt>
                <c:pt idx="4">
                  <c:v>0.51150054764512598</c:v>
                </c:pt>
                <c:pt idx="5">
                  <c:v>0.66922234392113911</c:v>
                </c:pt>
                <c:pt idx="6">
                  <c:v>0.82749178532311063</c:v>
                </c:pt>
                <c:pt idx="7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>Curva di massima concentrazione</c:v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Foglio4!$A$26:$A$33</c:f>
              <c:numCache>
                <c:formatCode>General</c:formatCode>
                <c:ptCount val="8"/>
                <c:pt idx="0">
                  <c:v>0</c:v>
                </c:pt>
                <c:pt idx="1">
                  <c:v>0.14285714285714285</c:v>
                </c:pt>
                <c:pt idx="2">
                  <c:v>0.2857142857142857</c:v>
                </c:pt>
                <c:pt idx="3">
                  <c:v>0.42857142857142855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0.8571428571428571</c:v>
                </c:pt>
                <c:pt idx="7">
                  <c:v>1</c:v>
                </c:pt>
              </c:numCache>
            </c:numRef>
          </c:xVal>
          <c:yVal>
            <c:numRef>
              <c:f>Foglio4!$C$26:$C$33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30272"/>
        <c:axId val="-4829184"/>
      </c:scatterChart>
      <c:valAx>
        <c:axId val="-483027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4829184"/>
        <c:crosses val="autoZero"/>
        <c:crossBetween val="midCat"/>
      </c:valAx>
      <c:valAx>
        <c:axId val="-48291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4830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Curva di Lorenz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Foglio5!$H$4:$H$9</c:f>
              <c:numCache>
                <c:formatCode>General</c:formatCode>
                <c:ptCount val="6"/>
                <c:pt idx="0">
                  <c:v>0</c:v>
                </c:pt>
                <c:pt idx="1">
                  <c:v>0.20083682008368201</c:v>
                </c:pt>
                <c:pt idx="2">
                  <c:v>0.40585774058577406</c:v>
                </c:pt>
                <c:pt idx="3">
                  <c:v>0.72384937238493718</c:v>
                </c:pt>
                <c:pt idx="4">
                  <c:v>0.94979079497907948</c:v>
                </c:pt>
                <c:pt idx="5">
                  <c:v>1</c:v>
                </c:pt>
              </c:numCache>
            </c:numRef>
          </c:xVal>
          <c:yVal>
            <c:numRef>
              <c:f>Foglio5!$F$4:$F$9</c:f>
              <c:numCache>
                <c:formatCode>General</c:formatCode>
                <c:ptCount val="6"/>
                <c:pt idx="0">
                  <c:v>0</c:v>
                </c:pt>
                <c:pt idx="1">
                  <c:v>1.1491501077328227E-2</c:v>
                </c:pt>
                <c:pt idx="2">
                  <c:v>4.668422312664592E-2</c:v>
                </c:pt>
                <c:pt idx="3">
                  <c:v>0.17404836006703375</c:v>
                </c:pt>
                <c:pt idx="4">
                  <c:v>0.6265262149868327</c:v>
                </c:pt>
                <c:pt idx="5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Retta di equidistribuzione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(Foglio5!$H$4,Foglio5!$H$9)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(Foglio5!$F$4,Foglio5!$F$9)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827008"/>
        <c:axId val="-4832992"/>
      </c:scatterChart>
      <c:valAx>
        <c:axId val="-482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4832992"/>
        <c:crosses val="autoZero"/>
        <c:crossBetween val="midCat"/>
      </c:valAx>
      <c:valAx>
        <c:axId val="-483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4827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di Lorenz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Curva di Lorenz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Foglio6!$G$11:$G$16</c:f>
              <c:numCache>
                <c:formatCode>General</c:formatCode>
                <c:ptCount val="6"/>
                <c:pt idx="0">
                  <c:v>0</c:v>
                </c:pt>
                <c:pt idx="1">
                  <c:v>0.3</c:v>
                </c:pt>
                <c:pt idx="2">
                  <c:v>0.55000000000000004</c:v>
                </c:pt>
                <c:pt idx="3">
                  <c:v>0.75</c:v>
                </c:pt>
                <c:pt idx="4">
                  <c:v>0.85</c:v>
                </c:pt>
                <c:pt idx="5">
                  <c:v>1</c:v>
                </c:pt>
              </c:numCache>
            </c:numRef>
          </c:xVal>
          <c:yVal>
            <c:numRef>
              <c:f>Foglio6!$E$11:$E$16</c:f>
              <c:numCache>
                <c:formatCode>General</c:formatCode>
                <c:ptCount val="6"/>
                <c:pt idx="0">
                  <c:v>0</c:v>
                </c:pt>
                <c:pt idx="1">
                  <c:v>0.16216216216216217</c:v>
                </c:pt>
                <c:pt idx="2">
                  <c:v>0.33108108108108109</c:v>
                </c:pt>
                <c:pt idx="3">
                  <c:v>0.54729729729729726</c:v>
                </c:pt>
                <c:pt idx="4">
                  <c:v>0.69594594594594594</c:v>
                </c:pt>
                <c:pt idx="5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Retta di equidistribuzione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(Foglio6!$E$11,Foglio6!$E$16)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(Foglio6!$E$11,Foglio6!$E$16)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249888"/>
        <c:axId val="-138256960"/>
      </c:scatterChart>
      <c:valAx>
        <c:axId val="-13824988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38256960"/>
        <c:crosses val="autoZero"/>
        <c:crossBetween val="midCat"/>
      </c:valAx>
      <c:valAx>
        <c:axId val="-138256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38249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29</xdr:row>
      <xdr:rowOff>152400</xdr:rowOff>
    </xdr:from>
    <xdr:to>
      <xdr:col>10</xdr:col>
      <xdr:colOff>358140</xdr:colOff>
      <xdr:row>46</xdr:row>
      <xdr:rowOff>45720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0</xdr:row>
          <xdr:rowOff>99060</xdr:rowOff>
        </xdr:from>
        <xdr:to>
          <xdr:col>29</xdr:col>
          <xdr:colOff>289560</xdr:colOff>
          <xdr:row>3</xdr:row>
          <xdr:rowOff>220980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35719</xdr:rowOff>
    </xdr:from>
    <xdr:to>
      <xdr:col>9</xdr:col>
      <xdr:colOff>214312</xdr:colOff>
      <xdr:row>40</xdr:row>
      <xdr:rowOff>111919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274320</xdr:colOff>
      <xdr:row>13</xdr:row>
      <xdr:rowOff>99060</xdr:rowOff>
    </xdr:from>
    <xdr:to>
      <xdr:col>16</xdr:col>
      <xdr:colOff>579120</xdr:colOff>
      <xdr:row>29</xdr:row>
      <xdr:rowOff>160020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</xdr:colOff>
      <xdr:row>18</xdr:row>
      <xdr:rowOff>0</xdr:rowOff>
    </xdr:from>
    <xdr:to>
      <xdr:col>13</xdr:col>
      <xdr:colOff>411480</xdr:colOff>
      <xdr:row>34</xdr:row>
      <xdr:rowOff>60960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D31" sqref="D31"/>
    </sheetView>
  </sheetViews>
  <sheetFormatPr defaultRowHeight="13.2" x14ac:dyDescent="0.25"/>
  <cols>
    <col min="1" max="1" width="15.5546875" customWidth="1"/>
    <col min="5" max="5" width="14.6640625" customWidth="1"/>
    <col min="6" max="6" width="13.33203125" customWidth="1"/>
    <col min="7" max="7" width="14.6640625" customWidth="1"/>
  </cols>
  <sheetData>
    <row r="1" spans="1:9" ht="15.6" x14ac:dyDescent="0.25">
      <c r="A1" s="32" t="s">
        <v>64</v>
      </c>
    </row>
    <row r="2" spans="1:9" ht="13.8" thickBot="1" x14ac:dyDescent="0.3">
      <c r="A2" s="12"/>
    </row>
    <row r="3" spans="1:9" ht="13.8" thickBot="1" x14ac:dyDescent="0.3">
      <c r="A3" s="41" t="s">
        <v>65</v>
      </c>
      <c r="B3" s="34" t="s">
        <v>66</v>
      </c>
      <c r="C3" s="15" t="s">
        <v>116</v>
      </c>
      <c r="D3" s="55" t="s">
        <v>124</v>
      </c>
      <c r="E3" s="15" t="s">
        <v>127</v>
      </c>
      <c r="F3" s="15" t="s">
        <v>128</v>
      </c>
      <c r="G3" s="15" t="s">
        <v>129</v>
      </c>
      <c r="H3" s="14" t="s">
        <v>33</v>
      </c>
      <c r="I3" s="14" t="s">
        <v>11</v>
      </c>
    </row>
    <row r="4" spans="1:9" x14ac:dyDescent="0.25">
      <c r="A4" s="42" t="s">
        <v>67</v>
      </c>
      <c r="B4" s="36">
        <v>20688</v>
      </c>
      <c r="C4" s="15">
        <f>1</f>
        <v>1</v>
      </c>
      <c r="D4" s="15">
        <f>C4*B4</f>
        <v>20688</v>
      </c>
      <c r="E4">
        <f>C4-B$15</f>
        <v>-4.1643420681882217</v>
      </c>
      <c r="F4">
        <f>E4^2</f>
        <v>17.341744860882155</v>
      </c>
      <c r="G4">
        <f>F4*B4</f>
        <v>358766.01768193004</v>
      </c>
      <c r="H4">
        <f>B4/B$9</f>
        <v>0.72865595942519024</v>
      </c>
      <c r="I4">
        <f>H4</f>
        <v>0.72865595942519024</v>
      </c>
    </row>
    <row r="5" spans="1:9" x14ac:dyDescent="0.25">
      <c r="A5" s="43" t="s">
        <v>70</v>
      </c>
      <c r="B5" s="36">
        <v>6187</v>
      </c>
      <c r="C5" s="15">
        <v>6</v>
      </c>
      <c r="D5" s="15">
        <f t="shared" ref="D5:D8" si="0">C5*B5</f>
        <v>37122</v>
      </c>
      <c r="E5" s="24">
        <f t="shared" ref="E5:E8" si="1">C5-B$15</f>
        <v>0.83565793181177828</v>
      </c>
      <c r="F5" s="24">
        <f t="shared" ref="F5:F8" si="2">E5^2</f>
        <v>0.69832417899993871</v>
      </c>
      <c r="G5" s="24">
        <f t="shared" ref="G5:G8" si="3">F5*B5</f>
        <v>4320.5316954726204</v>
      </c>
      <c r="H5" s="24">
        <f t="shared" ref="H5:H8" si="4">B5/B$9</f>
        <v>0.2179134967596506</v>
      </c>
      <c r="I5" s="24">
        <f>I4+H5</f>
        <v>0.94656945618484079</v>
      </c>
    </row>
    <row r="6" spans="1:9" x14ac:dyDescent="0.25">
      <c r="A6" s="44" t="s">
        <v>71</v>
      </c>
      <c r="B6" s="36">
        <v>1003</v>
      </c>
      <c r="C6" s="15">
        <v>14.5</v>
      </c>
      <c r="D6" s="15">
        <f t="shared" si="0"/>
        <v>14543.5</v>
      </c>
      <c r="E6" s="24">
        <f t="shared" si="1"/>
        <v>9.3356579318117774</v>
      </c>
      <c r="F6" s="24">
        <f t="shared" si="2"/>
        <v>87.154509019800159</v>
      </c>
      <c r="G6" s="24">
        <f t="shared" si="3"/>
        <v>87415.972546859557</v>
      </c>
      <c r="H6" s="24">
        <f t="shared" si="4"/>
        <v>3.5326852634544943E-2</v>
      </c>
      <c r="I6" s="24">
        <f t="shared" ref="I6:I8" si="5">I5+H6</f>
        <v>0.98189630881938572</v>
      </c>
    </row>
    <row r="7" spans="1:9" x14ac:dyDescent="0.25">
      <c r="A7" s="42" t="s">
        <v>68</v>
      </c>
      <c r="B7" s="36">
        <v>455</v>
      </c>
      <c r="C7" s="15">
        <f>119/2</f>
        <v>59.5</v>
      </c>
      <c r="D7" s="15">
        <f t="shared" si="0"/>
        <v>27072.5</v>
      </c>
      <c r="E7" s="24">
        <f t="shared" si="1"/>
        <v>54.335657931811781</v>
      </c>
      <c r="F7" s="24">
        <f t="shared" si="2"/>
        <v>2952.3637228828607</v>
      </c>
      <c r="G7" s="24">
        <f t="shared" si="3"/>
        <v>1343325.4939117015</v>
      </c>
      <c r="H7" s="24">
        <f t="shared" si="4"/>
        <v>1.6025641025641024E-2</v>
      </c>
      <c r="I7" s="24">
        <f t="shared" si="5"/>
        <v>0.99792194984502669</v>
      </c>
    </row>
    <row r="8" spans="1:9" ht="13.8" thickBot="1" x14ac:dyDescent="0.3">
      <c r="A8" s="45" t="s">
        <v>69</v>
      </c>
      <c r="B8" s="39">
        <v>59</v>
      </c>
      <c r="C8" s="15">
        <f>1600/2</f>
        <v>800</v>
      </c>
      <c r="D8" s="15">
        <f t="shared" si="0"/>
        <v>47200</v>
      </c>
      <c r="E8" s="24">
        <f t="shared" si="1"/>
        <v>794.83565793181174</v>
      </c>
      <c r="F8" s="24">
        <f t="shared" si="2"/>
        <v>631763.72311989602</v>
      </c>
      <c r="G8" s="24">
        <f t="shared" si="3"/>
        <v>37274059.664073862</v>
      </c>
      <c r="H8" s="24">
        <f t="shared" si="4"/>
        <v>2.0780501549732319E-3</v>
      </c>
      <c r="I8" s="24">
        <f t="shared" si="5"/>
        <v>0.99999999999999989</v>
      </c>
    </row>
    <row r="9" spans="1:9" x14ac:dyDescent="0.25">
      <c r="A9" s="12"/>
      <c r="B9" s="24">
        <f>SUM(B4:B8)</f>
        <v>28392</v>
      </c>
      <c r="C9" s="12"/>
      <c r="D9" s="24">
        <f>SUM(D4:D8)</f>
        <v>146626</v>
      </c>
      <c r="G9" s="24">
        <f>SUM(G4:G8)</f>
        <v>39067887.679909825</v>
      </c>
      <c r="H9" s="24">
        <f>SUM(H4:H8)</f>
        <v>0.99999999999999989</v>
      </c>
    </row>
    <row r="10" spans="1:9" x14ac:dyDescent="0.25">
      <c r="A10" s="12" t="s">
        <v>72</v>
      </c>
    </row>
    <row r="11" spans="1:9" x14ac:dyDescent="0.25">
      <c r="A11" s="12" t="s">
        <v>73</v>
      </c>
    </row>
    <row r="14" spans="1:9" x14ac:dyDescent="0.25">
      <c r="A14" s="15" t="s">
        <v>0</v>
      </c>
    </row>
    <row r="15" spans="1:9" x14ac:dyDescent="0.25">
      <c r="A15" s="15" t="s">
        <v>126</v>
      </c>
      <c r="B15">
        <f>D9/B9</f>
        <v>5.1643420681882217</v>
      </c>
    </row>
    <row r="17" spans="1:5" ht="15.6" x14ac:dyDescent="0.25">
      <c r="A17" s="15" t="s">
        <v>130</v>
      </c>
      <c r="B17">
        <f>G9/B9</f>
        <v>1376.0174584358208</v>
      </c>
    </row>
    <row r="19" spans="1:5" x14ac:dyDescent="0.25">
      <c r="A19" s="15" t="s">
        <v>131</v>
      </c>
      <c r="B19">
        <f>SQRT(B17)</f>
        <v>37.094709305180174</v>
      </c>
    </row>
    <row r="21" spans="1:5" x14ac:dyDescent="0.25">
      <c r="A21" s="15" t="s">
        <v>123</v>
      </c>
    </row>
    <row r="22" spans="1:5" x14ac:dyDescent="0.25">
      <c r="A22" s="15"/>
    </row>
    <row r="23" spans="1:5" x14ac:dyDescent="0.25">
      <c r="A23" s="15" t="s">
        <v>132</v>
      </c>
      <c r="B23">
        <f>-0.5+(0.25-0)/H4*(2.5-(-0.5))</f>
        <v>0.52929234338747078</v>
      </c>
    </row>
    <row r="24" spans="1:5" x14ac:dyDescent="0.25">
      <c r="A24" s="15"/>
    </row>
    <row r="25" spans="1:5" x14ac:dyDescent="0.25">
      <c r="A25" s="15" t="s">
        <v>125</v>
      </c>
      <c r="B25">
        <f>-0.5+(0.5-0)/H4*(2.5-(-0.5))</f>
        <v>1.5585846867749416</v>
      </c>
    </row>
    <row r="26" spans="1:5" x14ac:dyDescent="0.25">
      <c r="A26" s="15"/>
    </row>
    <row r="27" spans="1:5" x14ac:dyDescent="0.25">
      <c r="A27" s="15" t="s">
        <v>133</v>
      </c>
      <c r="B27">
        <f>2.5+(0.75-I4)/H5*(9.5-2.5)</f>
        <v>3.1856311621141087</v>
      </c>
    </row>
    <row r="29" spans="1:5" x14ac:dyDescent="0.25">
      <c r="A29" s="15" t="s">
        <v>134</v>
      </c>
      <c r="C29">
        <f>((B27-B25)-(B25-B23))/(B27-B23)</f>
        <v>0.22502932522675709</v>
      </c>
      <c r="E29" s="15" t="s">
        <v>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5" zoomScale="200" zoomScaleNormal="200" workbookViewId="0">
      <selection activeCell="B29" sqref="B29"/>
    </sheetView>
  </sheetViews>
  <sheetFormatPr defaultRowHeight="13.2" x14ac:dyDescent="0.25"/>
  <cols>
    <col min="1" max="1" width="15.33203125" customWidth="1"/>
  </cols>
  <sheetData>
    <row r="1" spans="1:6" ht="15.6" x14ac:dyDescent="0.25">
      <c r="A1" s="32" t="s">
        <v>74</v>
      </c>
    </row>
    <row r="2" spans="1:6" ht="13.8" thickBot="1" x14ac:dyDescent="0.3"/>
    <row r="3" spans="1:6" ht="13.8" thickBot="1" x14ac:dyDescent="0.3">
      <c r="A3" s="33" t="s">
        <v>75</v>
      </c>
      <c r="B3" s="34" t="s">
        <v>76</v>
      </c>
    </row>
    <row r="4" spans="1:6" x14ac:dyDescent="0.25">
      <c r="A4" s="35" t="s">
        <v>77</v>
      </c>
      <c r="B4" s="36">
        <v>32304</v>
      </c>
    </row>
    <row r="5" spans="1:6" x14ac:dyDescent="0.25">
      <c r="A5" s="35" t="s">
        <v>78</v>
      </c>
      <c r="B5" s="36">
        <v>36844</v>
      </c>
    </row>
    <row r="6" spans="1:6" x14ac:dyDescent="0.25">
      <c r="A6" s="35" t="s">
        <v>79</v>
      </c>
      <c r="B6" s="36">
        <v>28392</v>
      </c>
    </row>
    <row r="7" spans="1:6" ht="14.4" customHeight="1" x14ac:dyDescent="0.25">
      <c r="A7" s="37" t="s">
        <v>80</v>
      </c>
      <c r="B7" s="36">
        <v>17438</v>
      </c>
    </row>
    <row r="8" spans="1:6" ht="13.8" thickBot="1" x14ac:dyDescent="0.3">
      <c r="A8" s="38" t="s">
        <v>81</v>
      </c>
      <c r="B8" s="39">
        <v>16408</v>
      </c>
    </row>
    <row r="9" spans="1:6" x14ac:dyDescent="0.25">
      <c r="A9" s="12"/>
      <c r="B9" s="12"/>
    </row>
    <row r="10" spans="1:6" ht="15.6" x14ac:dyDescent="0.25">
      <c r="A10" s="32" t="s">
        <v>82</v>
      </c>
      <c r="B10" s="12"/>
    </row>
    <row r="11" spans="1:6" ht="15.6" x14ac:dyDescent="0.25">
      <c r="A11" s="32" t="s">
        <v>83</v>
      </c>
      <c r="B11" s="12"/>
    </row>
    <row r="12" spans="1:6" ht="15.6" x14ac:dyDescent="0.25">
      <c r="A12" s="32" t="s">
        <v>84</v>
      </c>
      <c r="B12" s="12"/>
    </row>
    <row r="13" spans="1:6" ht="15.6" x14ac:dyDescent="0.3">
      <c r="A13" s="40" t="s">
        <v>85</v>
      </c>
      <c r="B13" s="12"/>
    </row>
    <row r="15" spans="1:6" ht="15.6" x14ac:dyDescent="0.25">
      <c r="A15" s="54" t="s">
        <v>0</v>
      </c>
    </row>
    <row r="16" spans="1:6" x14ac:dyDescent="0.25">
      <c r="A16" s="15" t="s">
        <v>75</v>
      </c>
      <c r="B16" t="s">
        <v>76</v>
      </c>
      <c r="C16" s="15" t="s">
        <v>9</v>
      </c>
      <c r="D16" s="15" t="s">
        <v>10</v>
      </c>
      <c r="E16" s="15" t="s">
        <v>11</v>
      </c>
      <c r="F16" s="15" t="s">
        <v>12</v>
      </c>
    </row>
    <row r="17" spans="1:6" x14ac:dyDescent="0.25">
      <c r="D17">
        <v>0</v>
      </c>
      <c r="E17">
        <v>0</v>
      </c>
    </row>
    <row r="18" spans="1:6" x14ac:dyDescent="0.25">
      <c r="A18" t="s">
        <v>81</v>
      </c>
      <c r="B18">
        <v>16408</v>
      </c>
      <c r="C18">
        <f>B18</f>
        <v>16408</v>
      </c>
      <c r="D18">
        <f>C18/B$23</f>
        <v>0.12488392979465088</v>
      </c>
      <c r="E18">
        <f>1/5</f>
        <v>0.2</v>
      </c>
      <c r="F18">
        <f>E18-D18</f>
        <v>7.5116070205349134E-2</v>
      </c>
    </row>
    <row r="19" spans="1:6" x14ac:dyDescent="0.25">
      <c r="A19" t="s">
        <v>80</v>
      </c>
      <c r="B19">
        <v>17438</v>
      </c>
      <c r="C19">
        <f>C18+B19</f>
        <v>33846</v>
      </c>
      <c r="D19" s="24">
        <f t="shared" ref="D19:D22" si="0">C19/B$23</f>
        <v>0.25760735542599666</v>
      </c>
      <c r="E19">
        <f>2/5</f>
        <v>0.4</v>
      </c>
      <c r="F19" s="24">
        <f t="shared" ref="F19:F22" si="1">E19-D19</f>
        <v>0.14239264457400336</v>
      </c>
    </row>
    <row r="20" spans="1:6" x14ac:dyDescent="0.25">
      <c r="A20" t="s">
        <v>79</v>
      </c>
      <c r="B20">
        <v>28392</v>
      </c>
      <c r="C20" s="24">
        <f t="shared" ref="C20:C22" si="2">C19+B20</f>
        <v>62238</v>
      </c>
      <c r="D20" s="24">
        <f t="shared" si="0"/>
        <v>0.47370343872254272</v>
      </c>
      <c r="E20">
        <f>3/5</f>
        <v>0.6</v>
      </c>
      <c r="F20" s="24">
        <f t="shared" si="1"/>
        <v>0.12629656127745725</v>
      </c>
    </row>
    <row r="21" spans="1:6" x14ac:dyDescent="0.25">
      <c r="A21" t="s">
        <v>77</v>
      </c>
      <c r="B21">
        <v>32304</v>
      </c>
      <c r="C21" s="24">
        <f t="shared" si="2"/>
        <v>94542</v>
      </c>
      <c r="D21" s="24">
        <f t="shared" si="0"/>
        <v>0.71957438387651651</v>
      </c>
      <c r="E21">
        <f>4/5</f>
        <v>0.8</v>
      </c>
      <c r="F21" s="24">
        <f t="shared" si="1"/>
        <v>8.0425616123483534E-2</v>
      </c>
    </row>
    <row r="22" spans="1:6" x14ac:dyDescent="0.25">
      <c r="A22" t="s">
        <v>78</v>
      </c>
      <c r="B22">
        <v>36844</v>
      </c>
      <c r="C22" s="24">
        <f t="shared" si="2"/>
        <v>131386</v>
      </c>
      <c r="D22" s="24">
        <f t="shared" si="0"/>
        <v>1</v>
      </c>
      <c r="E22">
        <f>5/5</f>
        <v>1</v>
      </c>
      <c r="F22" s="24">
        <f t="shared" si="1"/>
        <v>0</v>
      </c>
    </row>
    <row r="23" spans="1:6" x14ac:dyDescent="0.25">
      <c r="B23">
        <f>SUM(B18:B22)</f>
        <v>131386</v>
      </c>
      <c r="E23" s="24">
        <f>SUM(E18:E21)</f>
        <v>2</v>
      </c>
      <c r="F23" s="24">
        <f>SUM(F18:F21)</f>
        <v>0.42423089218029331</v>
      </c>
    </row>
    <row r="25" spans="1:6" x14ac:dyDescent="0.25">
      <c r="A25" s="15" t="s">
        <v>13</v>
      </c>
      <c r="B25">
        <f>F23/E23</f>
        <v>0.21211544609014665</v>
      </c>
      <c r="C25" s="15" t="s">
        <v>136</v>
      </c>
    </row>
    <row r="27" spans="1:6" x14ac:dyDescent="0.25">
      <c r="A27" s="15" t="s">
        <v>123</v>
      </c>
    </row>
    <row r="28" spans="1:6" x14ac:dyDescent="0.25">
      <c r="A28" s="15" t="s">
        <v>137</v>
      </c>
    </row>
    <row r="30" spans="1:6" x14ac:dyDescent="0.25">
      <c r="A30" s="15" t="s">
        <v>1</v>
      </c>
    </row>
    <row r="32" spans="1:6" x14ac:dyDescent="0.25">
      <c r="A32" s="15" t="s">
        <v>10</v>
      </c>
      <c r="B32" s="15" t="s">
        <v>11</v>
      </c>
    </row>
    <row r="33" spans="1:2" x14ac:dyDescent="0.25">
      <c r="A33">
        <v>0</v>
      </c>
      <c r="B33">
        <f>E17</f>
        <v>0</v>
      </c>
    </row>
    <row r="34" spans="1:2" x14ac:dyDescent="0.25">
      <c r="A34">
        <v>0</v>
      </c>
      <c r="B34" s="24">
        <f t="shared" ref="B34:B38" si="3">E18</f>
        <v>0.2</v>
      </c>
    </row>
    <row r="35" spans="1:2" x14ac:dyDescent="0.25">
      <c r="A35">
        <v>0</v>
      </c>
      <c r="B35" s="24">
        <f t="shared" si="3"/>
        <v>0.4</v>
      </c>
    </row>
    <row r="36" spans="1:2" x14ac:dyDescent="0.25">
      <c r="A36">
        <v>0</v>
      </c>
      <c r="B36" s="24">
        <f t="shared" si="3"/>
        <v>0.6</v>
      </c>
    </row>
    <row r="37" spans="1:2" x14ac:dyDescent="0.25">
      <c r="A37">
        <v>0</v>
      </c>
      <c r="B37" s="24">
        <f t="shared" si="3"/>
        <v>0.8</v>
      </c>
    </row>
    <row r="38" spans="1:2" x14ac:dyDescent="0.25">
      <c r="A38">
        <v>1</v>
      </c>
      <c r="B38" s="24">
        <f t="shared" si="3"/>
        <v>1</v>
      </c>
    </row>
  </sheetData>
  <sortState ref="A18:B22">
    <sortCondition ref="B18:B2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4"/>
  <sheetViews>
    <sheetView tabSelected="1" topLeftCell="A14" workbookViewId="0">
      <selection activeCell="M35" sqref="M35"/>
    </sheetView>
  </sheetViews>
  <sheetFormatPr defaultRowHeight="13.2" x14ac:dyDescent="0.25"/>
  <cols>
    <col min="11" max="11" width="12.21875" customWidth="1"/>
    <col min="14" max="14" width="12.109375" customWidth="1"/>
    <col min="15" max="15" width="13.5546875" customWidth="1"/>
    <col min="18" max="18" width="11.6640625" bestFit="1" customWidth="1"/>
    <col min="19" max="19" width="12.33203125" bestFit="1" customWidth="1"/>
  </cols>
  <sheetData>
    <row r="1" spans="1:23" x14ac:dyDescent="0.25">
      <c r="A1" s="12" t="s">
        <v>26</v>
      </c>
    </row>
    <row r="3" spans="1:23" ht="30.6" x14ac:dyDescent="0.25">
      <c r="A3" s="56" t="s">
        <v>19</v>
      </c>
      <c r="B3" s="57"/>
      <c r="C3" s="25" t="s">
        <v>154</v>
      </c>
      <c r="D3" s="25" t="s">
        <v>155</v>
      </c>
      <c r="G3" s="15" t="s">
        <v>30</v>
      </c>
      <c r="H3" s="14" t="s">
        <v>2</v>
      </c>
      <c r="I3" s="14" t="s">
        <v>30</v>
      </c>
      <c r="J3" s="14" t="s">
        <v>2</v>
      </c>
      <c r="K3" s="14" t="s">
        <v>30</v>
      </c>
      <c r="L3" s="14" t="s">
        <v>2</v>
      </c>
      <c r="M3" s="14" t="s">
        <v>2</v>
      </c>
      <c r="N3" s="14" t="s">
        <v>2</v>
      </c>
      <c r="O3" s="14" t="s">
        <v>30</v>
      </c>
      <c r="P3" s="14" t="s">
        <v>30</v>
      </c>
      <c r="Q3" s="14" t="s">
        <v>30</v>
      </c>
      <c r="R3" s="14" t="s">
        <v>2</v>
      </c>
      <c r="S3" s="14" t="s">
        <v>30</v>
      </c>
      <c r="T3" s="14" t="s">
        <v>2</v>
      </c>
      <c r="U3" s="14" t="s">
        <v>30</v>
      </c>
      <c r="V3" s="14" t="s">
        <v>2</v>
      </c>
      <c r="W3" s="14" t="s">
        <v>30</v>
      </c>
    </row>
    <row r="4" spans="1:23" ht="21.6" x14ac:dyDescent="0.3">
      <c r="A4" s="26" t="s">
        <v>20</v>
      </c>
      <c r="B4" s="27" t="s">
        <v>21</v>
      </c>
      <c r="C4" s="27" t="s">
        <v>21</v>
      </c>
      <c r="D4" s="27" t="s">
        <v>21</v>
      </c>
    </row>
    <row r="5" spans="1:23" ht="13.8" x14ac:dyDescent="0.3">
      <c r="A5" s="28" t="s">
        <v>22</v>
      </c>
      <c r="B5" s="27" t="s">
        <v>21</v>
      </c>
      <c r="C5" s="29">
        <v>12430</v>
      </c>
      <c r="D5" s="29">
        <v>14288</v>
      </c>
    </row>
    <row r="6" spans="1:23" ht="13.8" x14ac:dyDescent="0.3">
      <c r="A6" s="28" t="s">
        <v>23</v>
      </c>
      <c r="B6" s="27" t="s">
        <v>21</v>
      </c>
      <c r="C6" s="30">
        <v>2899</v>
      </c>
      <c r="D6" s="30">
        <v>439</v>
      </c>
    </row>
    <row r="7" spans="1:23" ht="13.8" x14ac:dyDescent="0.3">
      <c r="A7" s="28" t="s">
        <v>24</v>
      </c>
      <c r="B7" s="27" t="s">
        <v>21</v>
      </c>
      <c r="C7" s="29">
        <v>361</v>
      </c>
      <c r="D7" s="29">
        <v>13</v>
      </c>
    </row>
    <row r="8" spans="1:23" ht="13.8" x14ac:dyDescent="0.3">
      <c r="A8" s="28" t="s">
        <v>25</v>
      </c>
      <c r="B8" s="27" t="s">
        <v>21</v>
      </c>
      <c r="C8" s="30">
        <v>41</v>
      </c>
      <c r="D8" s="30">
        <v>0</v>
      </c>
    </row>
    <row r="9" spans="1:23" ht="13.8" x14ac:dyDescent="0.3">
      <c r="A9" s="28" t="s">
        <v>18</v>
      </c>
      <c r="B9" s="27" t="s">
        <v>21</v>
      </c>
      <c r="C9" s="29">
        <v>15731</v>
      </c>
      <c r="D9" s="29">
        <v>14740</v>
      </c>
    </row>
    <row r="11" spans="1:23" x14ac:dyDescent="0.25">
      <c r="A11" s="31" t="s">
        <v>27</v>
      </c>
    </row>
    <row r="12" spans="1:23" s="24" customFormat="1" x14ac:dyDescent="0.25">
      <c r="A12" s="31"/>
    </row>
    <row r="13" spans="1:23" s="24" customFormat="1" ht="30.6" x14ac:dyDescent="0.25">
      <c r="A13" s="56" t="s">
        <v>19</v>
      </c>
      <c r="B13" s="57"/>
      <c r="C13" s="25" t="s">
        <v>154</v>
      </c>
      <c r="D13" s="60"/>
      <c r="E13" s="15"/>
    </row>
    <row r="14" spans="1:23" s="24" customFormat="1" ht="21.6" x14ac:dyDescent="0.3">
      <c r="A14" s="26" t="s">
        <v>20</v>
      </c>
      <c r="B14" s="27" t="s">
        <v>21</v>
      </c>
      <c r="C14" s="27" t="s">
        <v>21</v>
      </c>
      <c r="D14" s="15" t="s">
        <v>28</v>
      </c>
      <c r="E14" s="15" t="s">
        <v>29</v>
      </c>
      <c r="F14" s="14" t="s">
        <v>33</v>
      </c>
      <c r="G14" s="14" t="s">
        <v>11</v>
      </c>
      <c r="H14" s="14" t="s">
        <v>36</v>
      </c>
      <c r="I14" s="14" t="s">
        <v>37</v>
      </c>
      <c r="J14" s="14" t="s">
        <v>38</v>
      </c>
      <c r="K14" s="14" t="s">
        <v>45</v>
      </c>
      <c r="L14" s="14" t="s">
        <v>9</v>
      </c>
      <c r="M14" s="14" t="s">
        <v>10</v>
      </c>
      <c r="N14" s="14" t="s">
        <v>156</v>
      </c>
      <c r="O14" s="14" t="s">
        <v>157</v>
      </c>
      <c r="P14" s="14" t="s">
        <v>158</v>
      </c>
    </row>
    <row r="15" spans="1:23" s="24" customFormat="1" ht="13.8" x14ac:dyDescent="0.3">
      <c r="A15" s="28" t="s">
        <v>22</v>
      </c>
      <c r="B15" s="27" t="s">
        <v>21</v>
      </c>
      <c r="C15" s="29">
        <v>12430</v>
      </c>
      <c r="D15">
        <f>(0+9)/2</f>
        <v>4.5</v>
      </c>
      <c r="E15">
        <f>D15*C15</f>
        <v>55935</v>
      </c>
      <c r="F15">
        <f>C15/C$19</f>
        <v>0.7901595575615028</v>
      </c>
      <c r="G15">
        <f>F15</f>
        <v>0.7901595575615028</v>
      </c>
      <c r="H15">
        <f>D15-F$30</f>
        <v>-9.5518720996757995</v>
      </c>
      <c r="I15">
        <f>H15^2</f>
        <v>91.238260608564971</v>
      </c>
      <c r="J15">
        <f>I15*C15</f>
        <v>1134091.5793644625</v>
      </c>
      <c r="K15">
        <f>H15^3*C15</f>
        <v>-10832697.715408674</v>
      </c>
      <c r="L15">
        <f>E15</f>
        <v>55935</v>
      </c>
      <c r="M15">
        <f>L15/L$18</f>
        <v>0.25304229812259671</v>
      </c>
      <c r="N15" s="24">
        <f>G15</f>
        <v>0.7901595575615028</v>
      </c>
      <c r="O15" s="24">
        <f>M15</f>
        <v>0.25304229812259671</v>
      </c>
      <c r="P15" s="24">
        <f>O15*N15</f>
        <v>0.19994379032889692</v>
      </c>
    </row>
    <row r="16" spans="1:23" s="24" customFormat="1" ht="13.8" x14ac:dyDescent="0.3">
      <c r="A16" s="28" t="s">
        <v>23</v>
      </c>
      <c r="B16" s="27" t="s">
        <v>21</v>
      </c>
      <c r="C16" s="30">
        <v>2899</v>
      </c>
      <c r="D16">
        <f>(10+49)/2</f>
        <v>29.5</v>
      </c>
      <c r="E16" s="24">
        <f t="shared" ref="E16:E18" si="0">D16*C16</f>
        <v>85520.5</v>
      </c>
      <c r="F16" s="24">
        <f t="shared" ref="F16:F18" si="1">C16/C$19</f>
        <v>0.18428580509821371</v>
      </c>
      <c r="G16">
        <f>G15+F16</f>
        <v>0.97444536265971649</v>
      </c>
      <c r="H16" s="24">
        <f>D16-F$30</f>
        <v>15.4481279003242</v>
      </c>
      <c r="I16" s="24">
        <f>H16^2</f>
        <v>238.644655624775</v>
      </c>
      <c r="J16" s="24">
        <f>I16*C6</f>
        <v>691830.85665622272</v>
      </c>
      <c r="K16" s="24">
        <f t="shared" ref="K16:K18" si="2">H16^3*C16</f>
        <v>10687491.559016187</v>
      </c>
      <c r="L16">
        <f>L15+E16</f>
        <v>141455.5</v>
      </c>
      <c r="M16" s="24">
        <f>L16/L$18</f>
        <v>0.63992535625424107</v>
      </c>
      <c r="N16" s="24">
        <f>G16-G15</f>
        <v>0.18428580509821368</v>
      </c>
      <c r="O16" s="24">
        <f>M16+M15</f>
        <v>0.89296765437683778</v>
      </c>
      <c r="P16" s="24">
        <f t="shared" ref="P16:P18" si="3">O16*N16</f>
        <v>0.16456126311349897</v>
      </c>
    </row>
    <row r="17" spans="1:23" s="24" customFormat="1" ht="13.8" x14ac:dyDescent="0.3">
      <c r="A17" s="28" t="s">
        <v>24</v>
      </c>
      <c r="B17" s="27" t="s">
        <v>21</v>
      </c>
      <c r="C17" s="29">
        <v>361</v>
      </c>
      <c r="D17">
        <f>(50+249)/2</f>
        <v>149.5</v>
      </c>
      <c r="E17" s="24">
        <f t="shared" si="0"/>
        <v>53969.5</v>
      </c>
      <c r="F17" s="24">
        <f t="shared" si="1"/>
        <v>2.2948318606573009E-2</v>
      </c>
      <c r="G17" s="24">
        <f>G16+F17</f>
        <v>0.99739368126628947</v>
      </c>
      <c r="H17" s="24">
        <f>D17-F$30</f>
        <v>135.44812790032421</v>
      </c>
      <c r="I17" s="24">
        <f>H17^2</f>
        <v>18346.195351702587</v>
      </c>
      <c r="J17" s="24">
        <f>I17*C7</f>
        <v>6622976.5219646338</v>
      </c>
      <c r="K17" s="24">
        <f t="shared" si="2"/>
        <v>897069771.02791011</v>
      </c>
      <c r="L17" s="24">
        <f>L16+E17</f>
        <v>195425</v>
      </c>
      <c r="M17" s="24">
        <f>L17/L$18</f>
        <v>0.88407600090477267</v>
      </c>
      <c r="N17" s="24">
        <f t="shared" ref="N17:N18" si="4">G17-G16</f>
        <v>2.2948318606572982E-2</v>
      </c>
      <c r="O17" s="24">
        <f t="shared" ref="O17:O18" si="5">M17+M16</f>
        <v>1.5240013571590136</v>
      </c>
      <c r="P17" s="24">
        <f t="shared" si="3"/>
        <v>3.4973268700934666E-2</v>
      </c>
    </row>
    <row r="18" spans="1:23" s="24" customFormat="1" ht="13.8" x14ac:dyDescent="0.3">
      <c r="A18" s="28" t="s">
        <v>25</v>
      </c>
      <c r="B18" s="27" t="s">
        <v>21</v>
      </c>
      <c r="C18" s="30">
        <v>41</v>
      </c>
      <c r="D18">
        <f>(250+1000)/2</f>
        <v>625</v>
      </c>
      <c r="E18" s="24">
        <f t="shared" si="0"/>
        <v>25625</v>
      </c>
      <c r="F18" s="24">
        <f t="shared" si="1"/>
        <v>2.606318733710508E-3</v>
      </c>
      <c r="G18" s="24">
        <f>G17+F18</f>
        <v>1</v>
      </c>
      <c r="H18" s="24">
        <f>D18-F$30</f>
        <v>610.94812790032415</v>
      </c>
      <c r="I18" s="24">
        <f>H18^2</f>
        <v>373257.61498491082</v>
      </c>
      <c r="J18" s="24">
        <f>I18*C8</f>
        <v>15303562.214381343</v>
      </c>
      <c r="K18" s="24">
        <f t="shared" si="2"/>
        <v>9349682685.0824223</v>
      </c>
      <c r="L18" s="24">
        <f>L17+E18</f>
        <v>221050</v>
      </c>
      <c r="M18" s="24">
        <f>L18/L$18</f>
        <v>1</v>
      </c>
      <c r="N18" s="24">
        <f t="shared" si="4"/>
        <v>2.6063187337105331E-3</v>
      </c>
      <c r="O18" s="24">
        <f t="shared" si="5"/>
        <v>1.8840760009047726</v>
      </c>
      <c r="P18" s="24">
        <f t="shared" si="3"/>
        <v>4.9105025768925318E-3</v>
      </c>
    </row>
    <row r="19" spans="1:23" s="24" customFormat="1" ht="13.8" x14ac:dyDescent="0.3">
      <c r="A19" s="28" t="s">
        <v>18</v>
      </c>
      <c r="B19" s="27" t="s">
        <v>21</v>
      </c>
      <c r="C19" s="29">
        <v>15731</v>
      </c>
      <c r="D19" s="61"/>
      <c r="E19">
        <f>SUM(E15:E18)</f>
        <v>221050</v>
      </c>
      <c r="F19" s="24">
        <f>SUM(F15:F18)</f>
        <v>1</v>
      </c>
      <c r="J19" s="24">
        <f>SUM(J15:J18)</f>
        <v>23752461.172366664</v>
      </c>
      <c r="K19" s="24">
        <f>SUM(K15:K18)</f>
        <v>10246607249.953939</v>
      </c>
      <c r="P19" s="24">
        <f>SUM(P15:P18)</f>
        <v>0.40438882472022308</v>
      </c>
    </row>
    <row r="20" spans="1:23" s="24" customFormat="1" x14ac:dyDescent="0.25">
      <c r="A20" s="31"/>
    </row>
    <row r="21" spans="1:23" s="24" customFormat="1" ht="20.399999999999999" x14ac:dyDescent="0.25">
      <c r="A21" s="56" t="s">
        <v>19</v>
      </c>
      <c r="B21" s="57"/>
      <c r="C21" s="25" t="s">
        <v>155</v>
      </c>
    </row>
    <row r="22" spans="1:23" s="24" customFormat="1" ht="21.6" x14ac:dyDescent="0.3">
      <c r="A22" s="26" t="s">
        <v>20</v>
      </c>
      <c r="B22" s="27" t="s">
        <v>21</v>
      </c>
      <c r="C22" s="27" t="s">
        <v>21</v>
      </c>
      <c r="D22" s="15" t="s">
        <v>28</v>
      </c>
      <c r="E22" s="15" t="s">
        <v>29</v>
      </c>
      <c r="F22" s="14" t="s">
        <v>33</v>
      </c>
      <c r="G22" s="14" t="s">
        <v>11</v>
      </c>
      <c r="H22" s="14" t="s">
        <v>36</v>
      </c>
      <c r="I22" s="14" t="s">
        <v>37</v>
      </c>
      <c r="J22" s="14" t="s">
        <v>38</v>
      </c>
      <c r="K22" s="14" t="s">
        <v>45</v>
      </c>
      <c r="L22" s="14" t="s">
        <v>9</v>
      </c>
      <c r="M22" s="14" t="s">
        <v>10</v>
      </c>
      <c r="N22" s="14" t="s">
        <v>156</v>
      </c>
      <c r="O22" s="14" t="s">
        <v>157</v>
      </c>
      <c r="P22" s="14" t="s">
        <v>158</v>
      </c>
    </row>
    <row r="23" spans="1:23" s="24" customFormat="1" ht="13.8" x14ac:dyDescent="0.3">
      <c r="A23" s="28" t="s">
        <v>22</v>
      </c>
      <c r="B23" s="27" t="s">
        <v>21</v>
      </c>
      <c r="C23" s="29">
        <v>14288</v>
      </c>
      <c r="D23" s="24">
        <f>(0+9)/2</f>
        <v>4.5</v>
      </c>
      <c r="E23">
        <f>D23*C23</f>
        <v>64296</v>
      </c>
      <c r="F23" s="24">
        <f>C23/C$27</f>
        <v>0.96933514246947083</v>
      </c>
      <c r="G23" s="24">
        <f>F23</f>
        <v>0.96933514246947083</v>
      </c>
      <c r="H23">
        <f>D23-F$31</f>
        <v>-0.87245590230664849</v>
      </c>
      <c r="I23" s="24">
        <f>H23^2</f>
        <v>0.76117930146970814</v>
      </c>
      <c r="J23" s="24">
        <f>I23*C23</f>
        <v>10875.729859399189</v>
      </c>
      <c r="K23">
        <f>H23^3*C23</f>
        <v>-9488.5947077254787</v>
      </c>
      <c r="L23" s="24">
        <f>E23</f>
        <v>64296</v>
      </c>
      <c r="M23" s="24">
        <f>L23/L$26</f>
        <v>0.81192069705770931</v>
      </c>
      <c r="N23" s="24">
        <f>G23</f>
        <v>0.96933514246947083</v>
      </c>
      <c r="O23" s="24">
        <f>M23</f>
        <v>0.81192069705770931</v>
      </c>
      <c r="P23" s="24">
        <f>O23*N23</f>
        <v>0.78702326455634675</v>
      </c>
    </row>
    <row r="24" spans="1:23" s="24" customFormat="1" ht="13.8" x14ac:dyDescent="0.3">
      <c r="A24" s="28" t="s">
        <v>23</v>
      </c>
      <c r="B24" s="27" t="s">
        <v>21</v>
      </c>
      <c r="C24" s="30">
        <v>439</v>
      </c>
      <c r="D24" s="24">
        <f>(10+49)/2</f>
        <v>29.5</v>
      </c>
      <c r="E24" s="24">
        <f t="shared" ref="E24:E26" si="6">D24*C24</f>
        <v>12950.5</v>
      </c>
      <c r="F24" s="24">
        <f t="shared" ref="F24:F27" si="7">C24/C$27</f>
        <v>2.9782903663500677E-2</v>
      </c>
      <c r="G24" s="24">
        <f>G23+F24</f>
        <v>0.9991180461329715</v>
      </c>
      <c r="H24" s="24">
        <f>D24-F$31</f>
        <v>24.127544097693352</v>
      </c>
      <c r="I24" s="24">
        <f>H24^2</f>
        <v>582.13838418613727</v>
      </c>
      <c r="J24" s="24">
        <f t="shared" ref="J24:J26" si="8">I24*C24</f>
        <v>255558.75065771426</v>
      </c>
      <c r="K24" s="24">
        <f t="shared" ref="K24:K26" si="9">H24^3*C24</f>
        <v>6166005.0260454211</v>
      </c>
      <c r="L24" s="24">
        <f>L23+E24</f>
        <v>77246.5</v>
      </c>
      <c r="M24" s="24">
        <f>L24/L$26</f>
        <v>0.97545775981815885</v>
      </c>
      <c r="N24" s="24">
        <f>G24-G23</f>
        <v>2.9782903663500671E-2</v>
      </c>
      <c r="O24" s="24">
        <f>M24+M23</f>
        <v>1.7873784568758682</v>
      </c>
      <c r="P24" s="24">
        <f t="shared" ref="P24:P26" si="10">O24*N24</f>
        <v>5.3233320391350467E-2</v>
      </c>
    </row>
    <row r="25" spans="1:23" s="24" customFormat="1" ht="13.8" x14ac:dyDescent="0.3">
      <c r="A25" s="28" t="s">
        <v>24</v>
      </c>
      <c r="B25" s="27" t="s">
        <v>21</v>
      </c>
      <c r="C25" s="29">
        <v>13</v>
      </c>
      <c r="D25" s="24">
        <f>(50+249)/2</f>
        <v>149.5</v>
      </c>
      <c r="E25" s="24">
        <f t="shared" si="6"/>
        <v>1943.5</v>
      </c>
      <c r="F25" s="24">
        <f t="shared" si="7"/>
        <v>8.8195386702849391E-4</v>
      </c>
      <c r="G25" s="24">
        <f>G24+F25</f>
        <v>1</v>
      </c>
      <c r="H25" s="24">
        <f>D25-F$31</f>
        <v>144.12754409769335</v>
      </c>
      <c r="I25" s="24">
        <f t="shared" ref="I25:I26" si="11">H25^2</f>
        <v>20772.748967632539</v>
      </c>
      <c r="J25" s="24">
        <f t="shared" si="8"/>
        <v>270045.73657922301</v>
      </c>
      <c r="K25" s="24">
        <f t="shared" si="9"/>
        <v>38921028.807216041</v>
      </c>
      <c r="L25" s="24">
        <f>L24+E25</f>
        <v>79190</v>
      </c>
      <c r="M25" s="24">
        <f>L25/L$26</f>
        <v>1</v>
      </c>
      <c r="N25" s="24">
        <f t="shared" ref="N25:N26" si="12">G25-G24</f>
        <v>8.8195386702849543E-4</v>
      </c>
      <c r="O25" s="24">
        <f t="shared" ref="O25:O26" si="13">M25+M24</f>
        <v>1.9754577598181589</v>
      </c>
      <c r="P25" s="24">
        <f t="shared" si="10"/>
        <v>1.7422626104230739E-3</v>
      </c>
    </row>
    <row r="26" spans="1:23" s="24" customFormat="1" ht="13.8" x14ac:dyDescent="0.3">
      <c r="A26" s="28" t="s">
        <v>25</v>
      </c>
      <c r="B26" s="27" t="s">
        <v>21</v>
      </c>
      <c r="C26" s="30">
        <v>0</v>
      </c>
      <c r="D26" s="24">
        <f>(250+1000)/2</f>
        <v>625</v>
      </c>
      <c r="E26" s="24">
        <f t="shared" si="6"/>
        <v>0</v>
      </c>
      <c r="F26" s="24">
        <f t="shared" si="7"/>
        <v>0</v>
      </c>
      <c r="G26" s="24">
        <f>G25+F26</f>
        <v>1</v>
      </c>
      <c r="H26" s="24">
        <f>D26-F$31</f>
        <v>619.62754409769332</v>
      </c>
      <c r="I26" s="24">
        <f t="shared" si="11"/>
        <v>383938.29340453888</v>
      </c>
      <c r="J26" s="24">
        <f t="shared" si="8"/>
        <v>0</v>
      </c>
      <c r="K26" s="24">
        <f t="shared" si="9"/>
        <v>0</v>
      </c>
      <c r="L26" s="24">
        <f>L25+E26</f>
        <v>79190</v>
      </c>
      <c r="M26" s="24">
        <f>L26/L$26</f>
        <v>1</v>
      </c>
      <c r="N26" s="24">
        <f t="shared" si="12"/>
        <v>0</v>
      </c>
      <c r="O26" s="24">
        <f t="shared" si="13"/>
        <v>2</v>
      </c>
      <c r="P26" s="24">
        <f t="shared" si="10"/>
        <v>0</v>
      </c>
    </row>
    <row r="27" spans="1:23" ht="13.8" x14ac:dyDescent="0.3">
      <c r="A27" s="28" t="s">
        <v>18</v>
      </c>
      <c r="B27" s="27" t="s">
        <v>21</v>
      </c>
      <c r="C27" s="29">
        <v>14740</v>
      </c>
      <c r="D27" s="24"/>
      <c r="E27" s="24">
        <f>SUM(E23:E26)</f>
        <v>79190</v>
      </c>
      <c r="F27" s="24">
        <f t="shared" si="7"/>
        <v>1</v>
      </c>
      <c r="J27" s="24">
        <f>SUM(J23:J26)</f>
        <v>536480.21709633642</v>
      </c>
      <c r="K27" s="24">
        <f>SUM(K23:K26)</f>
        <v>45077545.238553733</v>
      </c>
      <c r="P27" s="24">
        <f>SUM(P23:P26)</f>
        <v>0.84199884755812027</v>
      </c>
    </row>
    <row r="28" spans="1:23" s="24" customFormat="1" ht="13.8" x14ac:dyDescent="0.3">
      <c r="A28" s="62"/>
      <c r="B28" s="63"/>
      <c r="C28" s="64"/>
    </row>
    <row r="29" spans="1:23" x14ac:dyDescent="0.25">
      <c r="O29" s="15" t="s">
        <v>86</v>
      </c>
      <c r="R29">
        <f>-0.5+(0.25-0)/F15*(9.5-(-0.5))</f>
        <v>2.6639179404666127</v>
      </c>
    </row>
    <row r="30" spans="1:23" x14ac:dyDescent="0.25">
      <c r="A30" s="15" t="s">
        <v>31</v>
      </c>
      <c r="F30">
        <f>E19/C9</f>
        <v>14.0518720996758</v>
      </c>
      <c r="I30" s="15" t="s">
        <v>46</v>
      </c>
      <c r="M30">
        <f>K19/C9/E39^3</f>
        <v>11.101849366842631</v>
      </c>
      <c r="O30" s="15" t="s">
        <v>87</v>
      </c>
      <c r="R30">
        <f>F33</f>
        <v>5.8278358809332254</v>
      </c>
      <c r="S30" s="24"/>
      <c r="T30" s="15" t="s">
        <v>92</v>
      </c>
      <c r="W30">
        <f>((R31-R30)-(R30-R29))/(R31-R29)</f>
        <v>0</v>
      </c>
    </row>
    <row r="31" spans="1:23" x14ac:dyDescent="0.25">
      <c r="A31" s="15" t="s">
        <v>32</v>
      </c>
      <c r="F31">
        <f>E27/D9</f>
        <v>5.3724559023066485</v>
      </c>
      <c r="I31" s="15" t="s">
        <v>47</v>
      </c>
      <c r="M31">
        <f>K27/D9/E40^3</f>
        <v>13.927668838698002</v>
      </c>
      <c r="O31" s="15" t="s">
        <v>88</v>
      </c>
      <c r="R31">
        <f>-0.5+(0.75-0)/F15*(9.5-(-0.5))</f>
        <v>8.991753821399838</v>
      </c>
    </row>
    <row r="33" spans="1:23" x14ac:dyDescent="0.25">
      <c r="A33" s="15" t="s">
        <v>34</v>
      </c>
      <c r="F33">
        <f>-0.5+(0.5-0)/F15*(9.5-(-0.5))</f>
        <v>5.8278358809332254</v>
      </c>
    </row>
    <row r="34" spans="1:23" x14ac:dyDescent="0.25">
      <c r="A34" s="15" t="s">
        <v>35</v>
      </c>
      <c r="F34">
        <f>-0.5+(0.5-0)/F23*(9.5-(-0.5))</f>
        <v>4.6581746920492719</v>
      </c>
      <c r="O34" s="15" t="s">
        <v>89</v>
      </c>
      <c r="R34" s="24">
        <f>-0.5+(0.25-0)/F23*(9.5-(-0.5))</f>
        <v>2.079087346024636</v>
      </c>
    </row>
    <row r="35" spans="1:23" x14ac:dyDescent="0.25">
      <c r="I35" s="15" t="s">
        <v>49</v>
      </c>
      <c r="M35" s="24">
        <f>1-P19</f>
        <v>0.59561117527977692</v>
      </c>
      <c r="O35" s="15" t="s">
        <v>90</v>
      </c>
      <c r="R35">
        <f>F34</f>
        <v>4.6581746920492719</v>
      </c>
      <c r="T35" s="15" t="s">
        <v>92</v>
      </c>
      <c r="U35" s="24"/>
      <c r="V35" s="24"/>
      <c r="W35" s="24">
        <f>((R36-R35)-(R35-R34))/(R36-R34)</f>
        <v>0</v>
      </c>
    </row>
    <row r="36" spans="1:23" x14ac:dyDescent="0.25">
      <c r="A36" s="15" t="s">
        <v>39</v>
      </c>
      <c r="E36">
        <f>J19/C9</f>
        <v>1509.9142567139193</v>
      </c>
      <c r="I36" s="15" t="s">
        <v>48</v>
      </c>
      <c r="M36" s="24">
        <f>1-P27</f>
        <v>0.15800115244187973</v>
      </c>
      <c r="O36" s="15" t="s">
        <v>91</v>
      </c>
      <c r="R36" s="24">
        <f>-0.5+(0.75-0)/F23*(9.5-(-0.5))</f>
        <v>7.2372620380739079</v>
      </c>
    </row>
    <row r="37" spans="1:23" x14ac:dyDescent="0.25">
      <c r="A37" s="15" t="s">
        <v>40</v>
      </c>
      <c r="E37">
        <f>J27/D9</f>
        <v>36.396215542492293</v>
      </c>
    </row>
    <row r="39" spans="1:23" x14ac:dyDescent="0.25">
      <c r="A39" s="15" t="s">
        <v>41</v>
      </c>
      <c r="E39">
        <f>SQRT(E36)</f>
        <v>38.857615170181496</v>
      </c>
      <c r="I39" t="s">
        <v>50</v>
      </c>
    </row>
    <row r="40" spans="1:23" x14ac:dyDescent="0.25">
      <c r="A40" s="15" t="s">
        <v>42</v>
      </c>
      <c r="E40">
        <f>SQRT(E37)</f>
        <v>6.0329276095849425</v>
      </c>
      <c r="I40" t="s">
        <v>51</v>
      </c>
    </row>
    <row r="41" spans="1:23" x14ac:dyDescent="0.25">
      <c r="I41" t="s">
        <v>52</v>
      </c>
    </row>
    <row r="42" spans="1:23" x14ac:dyDescent="0.25">
      <c r="A42" s="15" t="s">
        <v>43</v>
      </c>
      <c r="E42">
        <f>E39/F30</f>
        <v>2.7652980965488583</v>
      </c>
      <c r="I42" t="s">
        <v>53</v>
      </c>
    </row>
    <row r="43" spans="1:23" x14ac:dyDescent="0.25">
      <c r="A43" s="15" t="s">
        <v>44</v>
      </c>
      <c r="E43">
        <f>E40/F31</f>
        <v>1.1229366456027536</v>
      </c>
      <c r="I43" t="s">
        <v>54</v>
      </c>
    </row>
    <row r="44" spans="1:23" x14ac:dyDescent="0.25">
      <c r="I44" t="s">
        <v>55</v>
      </c>
    </row>
    <row r="45" spans="1:23" x14ac:dyDescent="0.25">
      <c r="I45" t="s">
        <v>56</v>
      </c>
    </row>
    <row r="46" spans="1:23" x14ac:dyDescent="0.25">
      <c r="I46" t="s">
        <v>57</v>
      </c>
    </row>
    <row r="47" spans="1:23" x14ac:dyDescent="0.25">
      <c r="I47" t="s">
        <v>58</v>
      </c>
    </row>
    <row r="48" spans="1:23" x14ac:dyDescent="0.25">
      <c r="I48" t="s">
        <v>59</v>
      </c>
    </row>
    <row r="49" spans="9:9" x14ac:dyDescent="0.25">
      <c r="I49" t="s">
        <v>60</v>
      </c>
    </row>
    <row r="50" spans="9:9" x14ac:dyDescent="0.25">
      <c r="I50" s="24" t="s">
        <v>61</v>
      </c>
    </row>
    <row r="51" spans="9:9" x14ac:dyDescent="0.25">
      <c r="I51" t="s">
        <v>62</v>
      </c>
    </row>
    <row r="52" spans="9:9" x14ac:dyDescent="0.25">
      <c r="I52" t="s">
        <v>63</v>
      </c>
    </row>
    <row r="53" spans="9:9" x14ac:dyDescent="0.25">
      <c r="I53" s="15" t="s">
        <v>93</v>
      </c>
    </row>
    <row r="54" spans="9:9" x14ac:dyDescent="0.25">
      <c r="I54" s="24" t="s">
        <v>94</v>
      </c>
    </row>
  </sheetData>
  <mergeCells count="3">
    <mergeCell ref="A3:B3"/>
    <mergeCell ref="A13:B13"/>
    <mergeCell ref="A21:B2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7169" r:id="rId4">
          <objectPr defaultSize="0" r:id="rId5">
            <anchor moveWithCells="1">
              <from>
                <xdr:col>23</xdr:col>
                <xdr:colOff>152400</xdr:colOff>
                <xdr:row>0</xdr:row>
                <xdr:rowOff>99060</xdr:rowOff>
              </from>
              <to>
                <xdr:col>29</xdr:col>
                <xdr:colOff>289560</xdr:colOff>
                <xdr:row>3</xdr:row>
                <xdr:rowOff>220980</xdr:rowOff>
              </to>
            </anchor>
          </objectPr>
        </oleObject>
      </mc:Choice>
      <mc:Fallback>
        <oleObject shapeId="716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="160" zoomScaleNormal="160" workbookViewId="0">
      <selection activeCell="B13" sqref="B13"/>
    </sheetView>
  </sheetViews>
  <sheetFormatPr defaultColWidth="9.109375" defaultRowHeight="13.2" x14ac:dyDescent="0.25"/>
  <cols>
    <col min="1" max="1" width="14" style="1" customWidth="1"/>
    <col min="2" max="2" width="7" style="1" customWidth="1"/>
    <col min="3" max="3" width="5.5546875" style="1" customWidth="1"/>
    <col min="4" max="5" width="6.5546875" style="1" customWidth="1"/>
    <col min="6" max="6" width="9" style="1" customWidth="1"/>
    <col min="7" max="7" width="7" style="1" customWidth="1"/>
    <col min="8" max="8" width="4.88671875" style="1" customWidth="1"/>
    <col min="9" max="9" width="5" style="1" customWidth="1"/>
    <col min="10" max="10" width="5.88671875" style="1" customWidth="1"/>
    <col min="11" max="11" width="5.33203125" style="1" customWidth="1"/>
    <col min="12" max="12" width="6" style="1" customWidth="1"/>
    <col min="13" max="13" width="5.5546875" style="1" customWidth="1"/>
    <col min="14" max="14" width="5.109375" style="1" customWidth="1"/>
    <col min="15" max="15" width="2" style="1" customWidth="1"/>
    <col min="16" max="16" width="5.44140625" style="1" customWidth="1"/>
    <col min="17" max="17" width="4.88671875" style="1" customWidth="1"/>
    <col min="18" max="18" width="1.88671875" style="1" customWidth="1"/>
    <col min="19" max="19" width="5.5546875" style="1" customWidth="1"/>
    <col min="20" max="20" width="4.6640625" style="1" customWidth="1"/>
    <col min="21" max="21" width="1.88671875" style="1" customWidth="1"/>
    <col min="22" max="22" width="5.6640625" style="1" customWidth="1"/>
    <col min="23" max="16384" width="9.109375" style="1"/>
  </cols>
  <sheetData>
    <row r="1" spans="1:22" x14ac:dyDescent="0.25">
      <c r="A1" s="12" t="s">
        <v>3</v>
      </c>
      <c r="B1" s="3"/>
    </row>
    <row r="2" spans="1:22" x14ac:dyDescent="0.25">
      <c r="A2" s="3">
        <v>289</v>
      </c>
      <c r="B2" s="3">
        <v>223</v>
      </c>
      <c r="C2" s="16">
        <v>315</v>
      </c>
      <c r="D2" s="16">
        <v>270</v>
      </c>
      <c r="E2" s="16">
        <v>198</v>
      </c>
      <c r="F2" s="17">
        <v>243</v>
      </c>
      <c r="G2" s="17">
        <v>288</v>
      </c>
    </row>
    <row r="3" spans="1:22" x14ac:dyDescent="0.25">
      <c r="A3" s="3" t="s">
        <v>7</v>
      </c>
      <c r="B3" s="3"/>
    </row>
    <row r="4" spans="1:22" x14ac:dyDescent="0.25">
      <c r="A4" s="3" t="s">
        <v>4</v>
      </c>
      <c r="B4" s="7"/>
      <c r="C4" s="7"/>
      <c r="D4" s="7"/>
      <c r="E4" s="7"/>
      <c r="F4" s="7"/>
      <c r="G4" s="7"/>
      <c r="H4" s="3"/>
    </row>
    <row r="5" spans="1:22" ht="14.25" customHeight="1" x14ac:dyDescent="0.25">
      <c r="A5" s="9" t="s">
        <v>5</v>
      </c>
      <c r="B5" s="3"/>
      <c r="C5" s="3"/>
      <c r="D5" s="3"/>
      <c r="E5" s="3"/>
      <c r="F5" s="3"/>
      <c r="G5" s="3"/>
      <c r="H5" s="3"/>
    </row>
    <row r="6" spans="1:22" ht="15" customHeight="1" x14ac:dyDescent="0.25">
      <c r="A6" s="9" t="s">
        <v>6</v>
      </c>
      <c r="B6" s="3"/>
      <c r="C6" s="3"/>
      <c r="D6" s="3"/>
      <c r="E6" s="3"/>
      <c r="F6" s="3"/>
      <c r="G6" s="3"/>
      <c r="H6" s="3"/>
    </row>
    <row r="7" spans="1:22" ht="15" customHeight="1" x14ac:dyDescent="0.25">
      <c r="A7" s="9"/>
      <c r="B7" s="3"/>
      <c r="C7" s="3"/>
      <c r="D7" s="3"/>
      <c r="E7" s="3"/>
      <c r="F7" s="3"/>
      <c r="G7" s="3"/>
      <c r="H7" s="3"/>
    </row>
    <row r="8" spans="1:22" s="10" customFormat="1" ht="14.25" customHeight="1" x14ac:dyDescent="0.25">
      <c r="A8" s="18" t="s">
        <v>8</v>
      </c>
      <c r="B8" s="10" t="s">
        <v>9</v>
      </c>
      <c r="C8" s="10" t="s">
        <v>10</v>
      </c>
      <c r="D8" s="10" t="s">
        <v>11</v>
      </c>
      <c r="E8" s="14" t="s">
        <v>12</v>
      </c>
    </row>
    <row r="9" spans="1:22" s="10" customFormat="1" ht="14.25" customHeight="1" x14ac:dyDescent="0.25">
      <c r="A9" s="19">
        <v>198</v>
      </c>
      <c r="B9" s="22">
        <f>A9</f>
        <v>198</v>
      </c>
      <c r="C9" s="23">
        <f>B9/A$16</f>
        <v>0.10843373493975904</v>
      </c>
      <c r="D9" s="18">
        <f>1/7</f>
        <v>0.14285714285714285</v>
      </c>
      <c r="E9" s="10">
        <f>D9-C9</f>
        <v>3.4423407917383811E-2</v>
      </c>
      <c r="F9" s="23"/>
      <c r="G9" s="18"/>
      <c r="I9" s="23"/>
      <c r="J9" s="18"/>
      <c r="L9" s="23"/>
      <c r="M9" s="18"/>
      <c r="O9" s="23"/>
      <c r="P9" s="18"/>
      <c r="R9" s="23"/>
      <c r="S9" s="18"/>
      <c r="U9" s="23"/>
      <c r="V9" s="18"/>
    </row>
    <row r="10" spans="1:22" s="10" customFormat="1" x14ac:dyDescent="0.25">
      <c r="A10" s="19">
        <v>223</v>
      </c>
      <c r="B10" s="19">
        <f>B9+A10</f>
        <v>421</v>
      </c>
      <c r="C10" s="23">
        <f t="shared" ref="C10:C15" si="0">B10/A$16</f>
        <v>0.23055859802847756</v>
      </c>
      <c r="D10" s="10">
        <f>2/7</f>
        <v>0.2857142857142857</v>
      </c>
      <c r="E10" s="10">
        <f t="shared" ref="E10:E15" si="1">D10-C10</f>
        <v>5.5155687685808141E-2</v>
      </c>
    </row>
    <row r="11" spans="1:22" s="10" customFormat="1" x14ac:dyDescent="0.25">
      <c r="A11" s="19">
        <v>243</v>
      </c>
      <c r="B11" s="19">
        <f t="shared" ref="B11:B15" si="2">B10+A11</f>
        <v>664</v>
      </c>
      <c r="C11" s="23">
        <f t="shared" si="0"/>
        <v>0.36363636363636365</v>
      </c>
      <c r="D11" s="10">
        <f>3/7</f>
        <v>0.42857142857142855</v>
      </c>
      <c r="E11" s="10">
        <f t="shared" si="1"/>
        <v>6.4935064935064901E-2</v>
      </c>
    </row>
    <row r="12" spans="1:22" s="10" customFormat="1" x14ac:dyDescent="0.25">
      <c r="A12" s="19">
        <v>270</v>
      </c>
      <c r="B12" s="19">
        <f t="shared" si="2"/>
        <v>934</v>
      </c>
      <c r="C12" s="23">
        <f t="shared" si="0"/>
        <v>0.51150054764512598</v>
      </c>
      <c r="D12" s="10">
        <f>4/7</f>
        <v>0.5714285714285714</v>
      </c>
      <c r="E12" s="10">
        <f t="shared" si="1"/>
        <v>5.9928023783445417E-2</v>
      </c>
    </row>
    <row r="13" spans="1:22" s="10" customFormat="1" x14ac:dyDescent="0.25">
      <c r="A13" s="20">
        <v>288</v>
      </c>
      <c r="B13" s="19">
        <f t="shared" si="2"/>
        <v>1222</v>
      </c>
      <c r="C13" s="23">
        <f t="shared" si="0"/>
        <v>0.66922234392113911</v>
      </c>
      <c r="D13" s="10">
        <f>5/7</f>
        <v>0.7142857142857143</v>
      </c>
      <c r="E13" s="10">
        <f t="shared" si="1"/>
        <v>4.5063370364575195E-2</v>
      </c>
    </row>
    <row r="14" spans="1:22" s="10" customFormat="1" x14ac:dyDescent="0.25">
      <c r="A14" s="20">
        <v>289</v>
      </c>
      <c r="B14" s="19">
        <f t="shared" si="2"/>
        <v>1511</v>
      </c>
      <c r="C14" s="23">
        <f t="shared" si="0"/>
        <v>0.82749178532311063</v>
      </c>
      <c r="D14" s="10">
        <f>6/7</f>
        <v>0.8571428571428571</v>
      </c>
      <c r="E14" s="10">
        <f t="shared" si="1"/>
        <v>2.9651071819746466E-2</v>
      </c>
    </row>
    <row r="15" spans="1:22" s="10" customFormat="1" x14ac:dyDescent="0.25">
      <c r="A15" s="20">
        <v>315</v>
      </c>
      <c r="B15" s="19">
        <f t="shared" si="2"/>
        <v>1826</v>
      </c>
      <c r="C15" s="23">
        <f t="shared" si="0"/>
        <v>1</v>
      </c>
      <c r="D15" s="10">
        <f>7/7</f>
        <v>1</v>
      </c>
      <c r="E15" s="10">
        <f t="shared" si="1"/>
        <v>0</v>
      </c>
    </row>
    <row r="16" spans="1:22" s="10" customFormat="1" x14ac:dyDescent="0.25">
      <c r="A16" s="21">
        <f>SUM(A9:A15)</f>
        <v>1826</v>
      </c>
      <c r="D16" s="21">
        <f>SUM(D9:D14)</f>
        <v>3</v>
      </c>
      <c r="E16" s="21">
        <f>SUM(E9:E14)</f>
        <v>0.28915662650602392</v>
      </c>
      <c r="F16" s="14"/>
      <c r="G16" s="14"/>
      <c r="K16" s="14"/>
      <c r="L16" s="14"/>
    </row>
    <row r="17" spans="1:22" x14ac:dyDescent="0.25">
      <c r="A17" s="2"/>
      <c r="B17" s="2"/>
      <c r="H17" s="8"/>
      <c r="I17" s="2"/>
    </row>
    <row r="18" spans="1:22" x14ac:dyDescent="0.25">
      <c r="A18" s="10" t="s">
        <v>0</v>
      </c>
      <c r="B18" s="2"/>
      <c r="H18" s="2"/>
      <c r="I18" s="2"/>
    </row>
    <row r="19" spans="1:22" x14ac:dyDescent="0.25">
      <c r="A19" s="10" t="s">
        <v>13</v>
      </c>
      <c r="B19" s="2">
        <f>E16/D16</f>
        <v>9.6385542168674634E-2</v>
      </c>
      <c r="D19" s="10" t="s">
        <v>14</v>
      </c>
      <c r="H19" s="8"/>
      <c r="I19" s="2"/>
    </row>
    <row r="20" spans="1:22" x14ac:dyDescent="0.25">
      <c r="A20" s="10"/>
      <c r="B20" s="2"/>
      <c r="D20" s="10"/>
      <c r="H20" s="8"/>
      <c r="I20" s="2"/>
    </row>
    <row r="21" spans="1:22" x14ac:dyDescent="0.25">
      <c r="A21" s="10" t="s">
        <v>1</v>
      </c>
      <c r="B21" s="2"/>
      <c r="D21" s="10"/>
      <c r="H21" s="8"/>
      <c r="I21" s="2"/>
    </row>
    <row r="22" spans="1:22" x14ac:dyDescent="0.25">
      <c r="A22" s="14" t="s">
        <v>17</v>
      </c>
      <c r="B22" s="2"/>
      <c r="D22" s="10"/>
      <c r="F22" s="1">
        <f>A16/7</f>
        <v>260.85714285714283</v>
      </c>
      <c r="H22" s="8"/>
      <c r="I22" s="2"/>
    </row>
    <row r="23" spans="1:22" x14ac:dyDescent="0.25">
      <c r="A23" s="2"/>
      <c r="B23" s="2"/>
      <c r="H23" s="2"/>
      <c r="I23" s="2"/>
      <c r="M23" s="6"/>
      <c r="P23" s="6"/>
      <c r="S23" s="6"/>
      <c r="V23" s="6"/>
    </row>
    <row r="24" spans="1:22" x14ac:dyDescent="0.25">
      <c r="A24" s="10" t="s">
        <v>15</v>
      </c>
      <c r="B24" s="2"/>
      <c r="H24" s="11"/>
      <c r="I24" s="2"/>
      <c r="M24" s="6"/>
      <c r="P24" s="6"/>
      <c r="S24" s="6"/>
      <c r="V24" s="6"/>
    </row>
    <row r="25" spans="1:22" x14ac:dyDescent="0.25">
      <c r="A25" s="14" t="s">
        <v>11</v>
      </c>
      <c r="B25" s="14" t="s">
        <v>10</v>
      </c>
      <c r="C25" s="14" t="s">
        <v>16</v>
      </c>
      <c r="D25" s="5"/>
      <c r="E25" s="5"/>
      <c r="F25" s="5"/>
      <c r="G25" s="5"/>
      <c r="H25" s="8"/>
      <c r="I25" s="3"/>
      <c r="L25" s="4"/>
    </row>
    <row r="26" spans="1:22" x14ac:dyDescent="0.25">
      <c r="A26" s="2">
        <v>0</v>
      </c>
      <c r="B26" s="2">
        <v>0</v>
      </c>
      <c r="C26" s="14">
        <v>0</v>
      </c>
      <c r="H26" s="8"/>
      <c r="I26" s="2"/>
    </row>
    <row r="27" spans="1:22" x14ac:dyDescent="0.25">
      <c r="A27" s="2">
        <f t="shared" ref="A27:A33" si="3">D9</f>
        <v>0.14285714285714285</v>
      </c>
      <c r="B27" s="2">
        <f t="shared" ref="B27:B33" si="4">C9</f>
        <v>0.10843373493975904</v>
      </c>
      <c r="C27" s="14">
        <v>0</v>
      </c>
      <c r="I27" s="2"/>
    </row>
    <row r="28" spans="1:22" x14ac:dyDescent="0.25">
      <c r="A28" s="2">
        <f t="shared" si="3"/>
        <v>0.2857142857142857</v>
      </c>
      <c r="B28" s="2">
        <f t="shared" si="4"/>
        <v>0.23055859802847756</v>
      </c>
      <c r="C28" s="14">
        <v>0</v>
      </c>
    </row>
    <row r="29" spans="1:22" x14ac:dyDescent="0.25">
      <c r="A29" s="2">
        <f t="shared" si="3"/>
        <v>0.42857142857142855</v>
      </c>
      <c r="B29" s="2">
        <f t="shared" si="4"/>
        <v>0.36363636363636365</v>
      </c>
      <c r="C29" s="14">
        <v>0</v>
      </c>
    </row>
    <row r="30" spans="1:22" x14ac:dyDescent="0.25">
      <c r="A30" s="2">
        <f t="shared" si="3"/>
        <v>0.5714285714285714</v>
      </c>
      <c r="B30" s="2">
        <f t="shared" si="4"/>
        <v>0.51150054764512598</v>
      </c>
      <c r="C30" s="14">
        <v>0</v>
      </c>
      <c r="G30" s="4"/>
    </row>
    <row r="31" spans="1:22" x14ac:dyDescent="0.25">
      <c r="A31" s="2">
        <f t="shared" si="3"/>
        <v>0.7142857142857143</v>
      </c>
      <c r="B31" s="2">
        <f t="shared" si="4"/>
        <v>0.66922234392113911</v>
      </c>
      <c r="C31" s="14">
        <v>0</v>
      </c>
    </row>
    <row r="32" spans="1:22" x14ac:dyDescent="0.25">
      <c r="A32" s="2">
        <f t="shared" si="3"/>
        <v>0.8571428571428571</v>
      </c>
      <c r="B32" s="2">
        <f t="shared" si="4"/>
        <v>0.82749178532311063</v>
      </c>
      <c r="C32" s="14">
        <v>0</v>
      </c>
    </row>
    <row r="33" spans="1:3" x14ac:dyDescent="0.25">
      <c r="A33" s="2">
        <f t="shared" si="3"/>
        <v>1</v>
      </c>
      <c r="B33" s="2">
        <f t="shared" si="4"/>
        <v>1</v>
      </c>
      <c r="C33" s="14">
        <v>1</v>
      </c>
    </row>
    <row r="34" spans="1:3" x14ac:dyDescent="0.25">
      <c r="A34" s="2"/>
      <c r="B34" s="2"/>
    </row>
    <row r="35" spans="1:3" x14ac:dyDescent="0.25">
      <c r="A35" s="2"/>
      <c r="B35" s="2"/>
    </row>
    <row r="36" spans="1:3" x14ac:dyDescent="0.25">
      <c r="A36" s="2"/>
      <c r="B36" s="2"/>
    </row>
    <row r="37" spans="1:3" x14ac:dyDescent="0.25">
      <c r="A37" s="2"/>
      <c r="B37" s="2"/>
    </row>
    <row r="38" spans="1:3" x14ac:dyDescent="0.25">
      <c r="A38" s="13"/>
    </row>
    <row r="39" spans="1:3" x14ac:dyDescent="0.25">
      <c r="B39" s="10"/>
    </row>
    <row r="41" spans="1:3" x14ac:dyDescent="0.25">
      <c r="A41" s="2"/>
    </row>
    <row r="42" spans="1:3" x14ac:dyDescent="0.25">
      <c r="A42" s="5"/>
    </row>
    <row r="43" spans="1:3" x14ac:dyDescent="0.25">
      <c r="A43" s="5"/>
    </row>
    <row r="44" spans="1:3" x14ac:dyDescent="0.25">
      <c r="A44" s="5"/>
    </row>
    <row r="45" spans="1:3" x14ac:dyDescent="0.25">
      <c r="A45" s="5"/>
    </row>
  </sheetData>
  <phoneticPr fontId="3" type="noConversion"/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9" workbookViewId="0">
      <selection activeCell="B39" sqref="B39"/>
    </sheetView>
  </sheetViews>
  <sheetFormatPr defaultRowHeight="13.2" x14ac:dyDescent="0.25"/>
  <cols>
    <col min="1" max="1" width="14.6640625" customWidth="1"/>
    <col min="2" max="2" width="20.33203125" customWidth="1"/>
    <col min="13" max="13" width="15" customWidth="1"/>
  </cols>
  <sheetData>
    <row r="1" spans="1:14" x14ac:dyDescent="0.25">
      <c r="A1" s="12" t="s">
        <v>95</v>
      </c>
    </row>
    <row r="2" spans="1:14" ht="13.8" thickBot="1" x14ac:dyDescent="0.3"/>
    <row r="3" spans="1:14" ht="37.950000000000003" customHeight="1" x14ac:dyDescent="0.35">
      <c r="A3" s="47" t="s">
        <v>96</v>
      </c>
      <c r="B3" s="58" t="s">
        <v>98</v>
      </c>
      <c r="F3" t="s">
        <v>10</v>
      </c>
      <c r="H3" s="15" t="s">
        <v>138</v>
      </c>
    </row>
    <row r="4" spans="1:14" ht="24" customHeight="1" thickBot="1" x14ac:dyDescent="0.4">
      <c r="A4" s="48" t="s">
        <v>97</v>
      </c>
      <c r="B4" s="59"/>
      <c r="C4" t="s">
        <v>116</v>
      </c>
      <c r="D4" t="s">
        <v>29</v>
      </c>
      <c r="E4" t="s">
        <v>9</v>
      </c>
      <c r="F4">
        <v>0</v>
      </c>
      <c r="G4" t="s">
        <v>117</v>
      </c>
      <c r="H4">
        <v>0</v>
      </c>
      <c r="I4" s="15" t="s">
        <v>118</v>
      </c>
      <c r="J4" s="15" t="s">
        <v>119</v>
      </c>
      <c r="K4" s="15" t="s">
        <v>120</v>
      </c>
      <c r="M4" s="15" t="s">
        <v>143</v>
      </c>
      <c r="N4" s="15" t="s">
        <v>144</v>
      </c>
    </row>
    <row r="5" spans="1:14" ht="16.2" thickBot="1" x14ac:dyDescent="0.35">
      <c r="A5" s="49" t="s">
        <v>99</v>
      </c>
      <c r="B5" s="50">
        <v>48</v>
      </c>
      <c r="C5">
        <v>0.5</v>
      </c>
      <c r="D5">
        <f>C5*B5</f>
        <v>24</v>
      </c>
      <c r="E5">
        <f>D5</f>
        <v>24</v>
      </c>
      <c r="F5">
        <f>E5/E$9</f>
        <v>1.1491501077328227E-2</v>
      </c>
      <c r="G5">
        <f>B5</f>
        <v>48</v>
      </c>
      <c r="H5">
        <f>G5/B$10</f>
        <v>0.20083682008368201</v>
      </c>
      <c r="I5">
        <f>F5</f>
        <v>1.1491501077328227E-2</v>
      </c>
      <c r="J5">
        <f>H5</f>
        <v>0.20083682008368201</v>
      </c>
      <c r="K5">
        <f>I5*J5</f>
        <v>2.3079165343588069E-3</v>
      </c>
      <c r="M5">
        <f>(C5-E$25)^3*B5</f>
        <v>-26840.134198862434</v>
      </c>
      <c r="N5" s="24">
        <f>(C5-E$25)^2*B5</f>
        <v>3257.8933842194633</v>
      </c>
    </row>
    <row r="6" spans="1:14" ht="16.2" thickBot="1" x14ac:dyDescent="0.35">
      <c r="A6" s="51" t="s">
        <v>102</v>
      </c>
      <c r="B6" s="50">
        <v>49</v>
      </c>
      <c r="C6">
        <v>1.5</v>
      </c>
      <c r="D6" s="24">
        <f t="shared" ref="D6:D9" si="0">C6*B6</f>
        <v>73.5</v>
      </c>
      <c r="E6">
        <f>E5+D6</f>
        <v>97.5</v>
      </c>
      <c r="F6" s="24">
        <f t="shared" ref="F6:F9" si="1">E6/E$9</f>
        <v>4.668422312664592E-2</v>
      </c>
      <c r="G6">
        <f>G5+B6</f>
        <v>97</v>
      </c>
      <c r="H6" s="24">
        <f>G6/B$10</f>
        <v>0.40585774058577406</v>
      </c>
      <c r="I6">
        <f>F6+F5</f>
        <v>5.8175724203974148E-2</v>
      </c>
      <c r="J6">
        <f>H6-H5</f>
        <v>0.20502092050209206</v>
      </c>
      <c r="K6" s="24">
        <f t="shared" ref="K6:K9" si="2">I6*J6</f>
        <v>1.1927240527174617E-2</v>
      </c>
      <c r="M6" s="24">
        <f t="shared" ref="M6:M9" si="3">(C6-E$25)^3*B6</f>
        <v>-18584.063749572491</v>
      </c>
      <c r="N6" s="24">
        <f t="shared" ref="N6:N9" si="4">(C6-E$25)^2*B6</f>
        <v>2567.3937781201307</v>
      </c>
    </row>
    <row r="7" spans="1:14" ht="16.2" thickBot="1" x14ac:dyDescent="0.35">
      <c r="A7" s="51" t="s">
        <v>103</v>
      </c>
      <c r="B7" s="50">
        <v>76</v>
      </c>
      <c r="C7">
        <v>3.5</v>
      </c>
      <c r="D7" s="24">
        <f t="shared" si="0"/>
        <v>266</v>
      </c>
      <c r="E7" s="24">
        <f t="shared" ref="E7:E9" si="5">E6+D7</f>
        <v>363.5</v>
      </c>
      <c r="F7" s="24">
        <f t="shared" si="1"/>
        <v>0.17404836006703375</v>
      </c>
      <c r="G7" s="24">
        <f t="shared" ref="G7:G9" si="6">G6+B7</f>
        <v>173</v>
      </c>
      <c r="H7" s="24">
        <f t="shared" ref="H7:H9" si="7">G7/B$10</f>
        <v>0.72384937238493718</v>
      </c>
      <c r="I7" s="24">
        <f>F7+F6</f>
        <v>0.22073258319367967</v>
      </c>
      <c r="J7" s="24">
        <f t="shared" ref="J7:J9" si="8">H7-H6</f>
        <v>0.31799163179916312</v>
      </c>
      <c r="K7" s="24">
        <f t="shared" si="2"/>
        <v>7.0191114321002723E-2</v>
      </c>
      <c r="M7" s="24">
        <f t="shared" si="3"/>
        <v>-10925.287544410419</v>
      </c>
      <c r="N7" s="24">
        <f t="shared" si="4"/>
        <v>2085.5780536055036</v>
      </c>
    </row>
    <row r="8" spans="1:14" ht="16.2" thickBot="1" x14ac:dyDescent="0.35">
      <c r="A8" s="52" t="s">
        <v>104</v>
      </c>
      <c r="B8" s="50">
        <v>54</v>
      </c>
      <c r="C8">
        <f>35/2</f>
        <v>17.5</v>
      </c>
      <c r="D8" s="24">
        <f t="shared" si="0"/>
        <v>945</v>
      </c>
      <c r="E8" s="24">
        <f t="shared" si="5"/>
        <v>1308.5</v>
      </c>
      <c r="F8" s="24">
        <f t="shared" si="1"/>
        <v>0.6265262149868327</v>
      </c>
      <c r="G8" s="24">
        <f t="shared" si="6"/>
        <v>227</v>
      </c>
      <c r="H8" s="24">
        <f t="shared" si="7"/>
        <v>0.94979079497907948</v>
      </c>
      <c r="I8" s="24">
        <f>F8+F7</f>
        <v>0.80057457505386642</v>
      </c>
      <c r="J8" s="24">
        <f t="shared" si="8"/>
        <v>0.22594142259414229</v>
      </c>
      <c r="K8" s="24">
        <f t="shared" si="2"/>
        <v>0.18088295838037152</v>
      </c>
      <c r="M8" s="24">
        <f t="shared" si="3"/>
        <v>36318.682782691583</v>
      </c>
      <c r="N8" s="24">
        <f t="shared" si="4"/>
        <v>4145.2555802594497</v>
      </c>
    </row>
    <row r="9" spans="1:14" ht="16.2" thickBot="1" x14ac:dyDescent="0.35">
      <c r="A9" s="49" t="s">
        <v>100</v>
      </c>
      <c r="B9" s="50">
        <v>12</v>
      </c>
      <c r="C9">
        <f>130/2</f>
        <v>65</v>
      </c>
      <c r="D9" s="24">
        <f t="shared" si="0"/>
        <v>780</v>
      </c>
      <c r="E9" s="24">
        <f t="shared" si="5"/>
        <v>2088.5</v>
      </c>
      <c r="F9" s="24">
        <f t="shared" si="1"/>
        <v>1</v>
      </c>
      <c r="G9" s="24">
        <f t="shared" si="6"/>
        <v>239</v>
      </c>
      <c r="H9" s="24">
        <f t="shared" si="7"/>
        <v>1</v>
      </c>
      <c r="I9" s="24">
        <f>F9+F8</f>
        <v>1.6265262149868327</v>
      </c>
      <c r="J9" s="24">
        <f t="shared" si="8"/>
        <v>5.0209205020920522E-2</v>
      </c>
      <c r="K9" s="24">
        <f t="shared" si="2"/>
        <v>8.1666588200175735E-2</v>
      </c>
      <c r="M9" s="24">
        <f t="shared" si="3"/>
        <v>2137053.0923847044</v>
      </c>
      <c r="N9" s="24">
        <f t="shared" si="4"/>
        <v>37984.285061536037</v>
      </c>
    </row>
    <row r="10" spans="1:14" ht="16.2" thickBot="1" x14ac:dyDescent="0.35">
      <c r="A10" s="49" t="s">
        <v>101</v>
      </c>
      <c r="B10" s="50">
        <v>239</v>
      </c>
      <c r="D10">
        <f>SUM(D5:D9)</f>
        <v>2088.5</v>
      </c>
      <c r="K10" s="24">
        <f>SUM(K5:K9)</f>
        <v>0.34697581796308341</v>
      </c>
      <c r="M10" s="24">
        <f>SUM(M5:M9)</f>
        <v>2117022.2896745508</v>
      </c>
      <c r="N10" s="24">
        <f>SUM(N5:N9)</f>
        <v>50040.405857740581</v>
      </c>
    </row>
    <row r="12" spans="1:14" x14ac:dyDescent="0.25">
      <c r="A12" s="12" t="s">
        <v>105</v>
      </c>
    </row>
    <row r="13" spans="1:14" x14ac:dyDescent="0.25">
      <c r="A13" s="12" t="s">
        <v>106</v>
      </c>
    </row>
    <row r="14" spans="1:14" x14ac:dyDescent="0.25">
      <c r="A14" s="12" t="s">
        <v>107</v>
      </c>
    </row>
    <row r="15" spans="1:14" x14ac:dyDescent="0.25">
      <c r="A15" s="17" t="s">
        <v>108</v>
      </c>
    </row>
    <row r="16" spans="1:14" x14ac:dyDescent="0.25">
      <c r="A16" s="46" t="s">
        <v>109</v>
      </c>
    </row>
    <row r="18" spans="1:5" x14ac:dyDescent="0.25">
      <c r="A18" s="53" t="s">
        <v>121</v>
      </c>
    </row>
    <row r="19" spans="1:5" x14ac:dyDescent="0.25">
      <c r="A19" s="53" t="s">
        <v>122</v>
      </c>
      <c r="B19">
        <f>1-K10</f>
        <v>0.65302418203691659</v>
      </c>
    </row>
    <row r="21" spans="1:5" x14ac:dyDescent="0.25">
      <c r="A21" s="15" t="s">
        <v>139</v>
      </c>
    </row>
    <row r="22" spans="1:5" x14ac:dyDescent="0.25">
      <c r="A22" s="15" t="s">
        <v>125</v>
      </c>
      <c r="B22">
        <f>2+(0.5-H6)/(H6-H5)*(5-2)</f>
        <v>3.3775510204081631</v>
      </c>
    </row>
    <row r="24" spans="1:5" x14ac:dyDescent="0.25">
      <c r="A24" s="15" t="s">
        <v>140</v>
      </c>
    </row>
    <row r="25" spans="1:5" x14ac:dyDescent="0.25">
      <c r="A25" s="15" t="s">
        <v>141</v>
      </c>
      <c r="E25">
        <f>D10/B10</f>
        <v>8.7384937238493716</v>
      </c>
    </row>
    <row r="27" spans="1:5" x14ac:dyDescent="0.25">
      <c r="A27" s="15" t="s">
        <v>142</v>
      </c>
    </row>
    <row r="29" spans="1:5" x14ac:dyDescent="0.25">
      <c r="A29" s="15" t="s">
        <v>145</v>
      </c>
      <c r="B29">
        <f>N10/B10</f>
        <v>209.37408308678067</v>
      </c>
    </row>
    <row r="30" spans="1:5" x14ac:dyDescent="0.25">
      <c r="A30" s="15" t="s">
        <v>146</v>
      </c>
      <c r="B30">
        <f>SQRT(B29)</f>
        <v>14.469764444757926</v>
      </c>
    </row>
    <row r="31" spans="1:5" x14ac:dyDescent="0.25">
      <c r="A31" s="15" t="s">
        <v>147</v>
      </c>
      <c r="B31">
        <f>M10/B10/B30^3</f>
        <v>2.9237695985073247</v>
      </c>
    </row>
    <row r="33" spans="1:5" x14ac:dyDescent="0.25">
      <c r="A33" s="15" t="s">
        <v>148</v>
      </c>
    </row>
    <row r="34" spans="1:5" x14ac:dyDescent="0.25">
      <c r="A34" s="15" t="s">
        <v>132</v>
      </c>
      <c r="B34">
        <f>1+(0.25-H5)/(H5-H4)*(2-1)</f>
        <v>1.2447916666666667</v>
      </c>
    </row>
    <row r="35" spans="1:5" x14ac:dyDescent="0.25">
      <c r="A35" s="15" t="s">
        <v>133</v>
      </c>
      <c r="B35">
        <f>5+(0.75-H7)/(H8-H7)*(30-5)</f>
        <v>7.8935185185185244</v>
      </c>
    </row>
    <row r="37" spans="1:5" x14ac:dyDescent="0.25">
      <c r="A37" s="15" t="s">
        <v>134</v>
      </c>
      <c r="C37">
        <f>((B35-B22)-(B22-B34))/(B35-B34)</f>
        <v>0.3584457893175555</v>
      </c>
      <c r="E37" s="15" t="s">
        <v>149</v>
      </c>
    </row>
  </sheetData>
  <mergeCells count="1">
    <mergeCell ref="B3:B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26" sqref="F26"/>
    </sheetView>
  </sheetViews>
  <sheetFormatPr defaultRowHeight="13.2" x14ac:dyDescent="0.25"/>
  <sheetData>
    <row r="1" spans="1:10" x14ac:dyDescent="0.25">
      <c r="A1" s="12" t="s">
        <v>110</v>
      </c>
    </row>
    <row r="3" spans="1:10" x14ac:dyDescent="0.25">
      <c r="A3" s="12" t="s">
        <v>114</v>
      </c>
      <c r="B3" s="12">
        <v>200</v>
      </c>
      <c r="C3" s="12">
        <v>250</v>
      </c>
      <c r="D3" s="12">
        <v>400</v>
      </c>
      <c r="E3" s="12">
        <v>550</v>
      </c>
      <c r="F3" s="12">
        <v>750</v>
      </c>
    </row>
    <row r="4" spans="1:10" x14ac:dyDescent="0.25">
      <c r="A4" s="12" t="s">
        <v>115</v>
      </c>
      <c r="B4" s="12">
        <v>30</v>
      </c>
      <c r="C4" s="12">
        <v>25</v>
      </c>
      <c r="D4" s="12">
        <v>20</v>
      </c>
      <c r="E4" s="12">
        <v>10</v>
      </c>
      <c r="F4" s="12">
        <v>15</v>
      </c>
    </row>
    <row r="7" spans="1:10" x14ac:dyDescent="0.25">
      <c r="A7" s="12" t="s">
        <v>111</v>
      </c>
    </row>
    <row r="8" spans="1:10" x14ac:dyDescent="0.25">
      <c r="A8" s="12" t="s">
        <v>112</v>
      </c>
    </row>
    <row r="9" spans="1:10" x14ac:dyDescent="0.25">
      <c r="A9" s="12" t="s">
        <v>113</v>
      </c>
    </row>
    <row r="10" spans="1:10" x14ac:dyDescent="0.25">
      <c r="E10" s="15" t="s">
        <v>10</v>
      </c>
      <c r="G10" s="15" t="s">
        <v>11</v>
      </c>
    </row>
    <row r="11" spans="1:10" ht="15.6" x14ac:dyDescent="0.35">
      <c r="A11" s="15" t="s">
        <v>114</v>
      </c>
      <c r="B11" s="15" t="s">
        <v>115</v>
      </c>
      <c r="C11" s="15" t="s">
        <v>29</v>
      </c>
      <c r="D11" s="15" t="s">
        <v>9</v>
      </c>
      <c r="E11">
        <v>0</v>
      </c>
      <c r="F11" s="15" t="s">
        <v>117</v>
      </c>
      <c r="G11">
        <v>0</v>
      </c>
      <c r="H11" s="15" t="s">
        <v>118</v>
      </c>
      <c r="I11" s="15" t="s">
        <v>119</v>
      </c>
      <c r="J11" s="15" t="s">
        <v>120</v>
      </c>
    </row>
    <row r="12" spans="1:10" x14ac:dyDescent="0.25">
      <c r="A12">
        <v>200</v>
      </c>
      <c r="B12">
        <v>30</v>
      </c>
      <c r="C12">
        <f>B12*A12</f>
        <v>6000</v>
      </c>
      <c r="D12">
        <f>C12</f>
        <v>6000</v>
      </c>
      <c r="E12">
        <f>D12/C$17</f>
        <v>0.16216216216216217</v>
      </c>
      <c r="F12">
        <f>B12</f>
        <v>30</v>
      </c>
      <c r="G12">
        <f>F12/F$16</f>
        <v>0.3</v>
      </c>
      <c r="H12">
        <f>E12</f>
        <v>0.16216216216216217</v>
      </c>
      <c r="I12">
        <f>G12</f>
        <v>0.3</v>
      </c>
      <c r="J12">
        <f>H12*I12</f>
        <v>4.8648648648648651E-2</v>
      </c>
    </row>
    <row r="13" spans="1:10" x14ac:dyDescent="0.25">
      <c r="A13">
        <v>250</v>
      </c>
      <c r="B13">
        <v>25</v>
      </c>
      <c r="C13" s="24">
        <f t="shared" ref="C13:C16" si="0">B13*A13</f>
        <v>6250</v>
      </c>
      <c r="D13">
        <f>D12+C13</f>
        <v>12250</v>
      </c>
      <c r="E13" s="24">
        <f t="shared" ref="E13:E16" si="1">D13/C$17</f>
        <v>0.33108108108108109</v>
      </c>
      <c r="F13">
        <f>F12+B13</f>
        <v>55</v>
      </c>
      <c r="G13" s="24">
        <f t="shared" ref="G13:G15" si="2">F13/F$16</f>
        <v>0.55000000000000004</v>
      </c>
      <c r="H13">
        <f>E13+E12</f>
        <v>0.49324324324324326</v>
      </c>
      <c r="I13">
        <f>G13-G12</f>
        <v>0.25000000000000006</v>
      </c>
      <c r="J13" s="24">
        <f t="shared" ref="J13:J16" si="3">H13*I13</f>
        <v>0.12331081081081084</v>
      </c>
    </row>
    <row r="14" spans="1:10" x14ac:dyDescent="0.25">
      <c r="A14">
        <v>400</v>
      </c>
      <c r="B14">
        <v>20</v>
      </c>
      <c r="C14" s="24">
        <f t="shared" si="0"/>
        <v>8000</v>
      </c>
      <c r="D14" s="24">
        <f t="shared" ref="D14:D16" si="4">D13+C14</f>
        <v>20250</v>
      </c>
      <c r="E14" s="24">
        <f t="shared" si="1"/>
        <v>0.54729729729729726</v>
      </c>
      <c r="F14" s="24">
        <f t="shared" ref="F14:F16" si="5">F13+B14</f>
        <v>75</v>
      </c>
      <c r="G14" s="24">
        <f t="shared" si="2"/>
        <v>0.75</v>
      </c>
      <c r="H14" s="24">
        <f t="shared" ref="H14:H16" si="6">E14+E13</f>
        <v>0.87837837837837829</v>
      </c>
      <c r="I14" s="24">
        <f t="shared" ref="I14:I15" si="7">G14-G13</f>
        <v>0.19999999999999996</v>
      </c>
      <c r="J14" s="24">
        <f t="shared" si="3"/>
        <v>0.17567567567567563</v>
      </c>
    </row>
    <row r="15" spans="1:10" x14ac:dyDescent="0.25">
      <c r="A15">
        <v>550</v>
      </c>
      <c r="B15">
        <v>10</v>
      </c>
      <c r="C15" s="24">
        <f t="shared" si="0"/>
        <v>5500</v>
      </c>
      <c r="D15" s="24">
        <f t="shared" si="4"/>
        <v>25750</v>
      </c>
      <c r="E15" s="24">
        <f t="shared" si="1"/>
        <v>0.69594594594594594</v>
      </c>
      <c r="F15" s="24">
        <f t="shared" si="5"/>
        <v>85</v>
      </c>
      <c r="G15" s="24">
        <f t="shared" si="2"/>
        <v>0.85</v>
      </c>
      <c r="H15" s="24">
        <f t="shared" si="6"/>
        <v>1.2432432432432432</v>
      </c>
      <c r="I15" s="24">
        <f t="shared" si="7"/>
        <v>9.9999999999999978E-2</v>
      </c>
      <c r="J15" s="24">
        <f t="shared" si="3"/>
        <v>0.12432432432432429</v>
      </c>
    </row>
    <row r="16" spans="1:10" x14ac:dyDescent="0.25">
      <c r="A16">
        <v>750</v>
      </c>
      <c r="B16">
        <v>15</v>
      </c>
      <c r="C16" s="24">
        <f t="shared" si="0"/>
        <v>11250</v>
      </c>
      <c r="D16" s="24">
        <f t="shared" si="4"/>
        <v>37000</v>
      </c>
      <c r="E16" s="24">
        <f t="shared" si="1"/>
        <v>1</v>
      </c>
      <c r="F16" s="24">
        <f t="shared" si="5"/>
        <v>100</v>
      </c>
      <c r="G16" s="24">
        <f>F16/F$16</f>
        <v>1</v>
      </c>
      <c r="H16" s="24">
        <f t="shared" si="6"/>
        <v>1.6959459459459461</v>
      </c>
      <c r="I16" s="24">
        <f>G16-G15</f>
        <v>0.15000000000000002</v>
      </c>
      <c r="J16" s="24">
        <f t="shared" si="3"/>
        <v>0.25439189189189193</v>
      </c>
    </row>
    <row r="17" spans="1:10" x14ac:dyDescent="0.25">
      <c r="A17" s="15" t="s">
        <v>101</v>
      </c>
      <c r="B17">
        <f>SUM(B12:B16)</f>
        <v>100</v>
      </c>
      <c r="C17" s="24">
        <f>SUM(C12:C16)</f>
        <v>37000</v>
      </c>
      <c r="J17" s="24">
        <f>SUM(J12:J16)</f>
        <v>0.72635135135135132</v>
      </c>
    </row>
    <row r="19" spans="1:10" x14ac:dyDescent="0.25">
      <c r="A19" s="15" t="s">
        <v>150</v>
      </c>
      <c r="B19" s="15">
        <f>1-J17</f>
        <v>0.27364864864864868</v>
      </c>
    </row>
    <row r="22" spans="1:10" x14ac:dyDescent="0.25">
      <c r="A22" s="15" t="s">
        <v>151</v>
      </c>
      <c r="B22">
        <f>A12</f>
        <v>200</v>
      </c>
    </row>
    <row r="23" spans="1:10" x14ac:dyDescent="0.25">
      <c r="A23" s="15" t="s">
        <v>152</v>
      </c>
      <c r="B23">
        <v>750</v>
      </c>
    </row>
    <row r="25" spans="1:10" x14ac:dyDescent="0.25">
      <c r="A25" s="15" t="s">
        <v>153</v>
      </c>
      <c r="F25">
        <f>C17/B17</f>
        <v>370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Foglio1</vt:lpstr>
      <vt:lpstr>Foglio2</vt:lpstr>
      <vt:lpstr>Foglio3</vt:lpstr>
      <vt:lpstr>Foglio4</vt:lpstr>
      <vt:lpstr>Foglio5</vt:lpstr>
      <vt:lpstr>Foglio6</vt:lpstr>
    </vt:vector>
  </TitlesOfParts>
  <Company>Università di Macerata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cp:lastPrinted>2010-12-01T13:54:57Z</cp:lastPrinted>
  <dcterms:created xsi:type="dcterms:W3CDTF">2010-11-23T22:03:56Z</dcterms:created>
  <dcterms:modified xsi:type="dcterms:W3CDTF">2022-03-16T17:45:09Z</dcterms:modified>
</cp:coreProperties>
</file>