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Luisa\Statistica\Anno 2021-2022\"/>
    </mc:Choice>
  </mc:AlternateContent>
  <bookViews>
    <workbookView xWindow="0" yWindow="0" windowWidth="23040" windowHeight="9204" firstSheet="2" activeTab="12"/>
  </bookViews>
  <sheets>
    <sheet name="Foglio1" sheetId="1" r:id="rId1"/>
    <sheet name="Foglio2" sheetId="3" r:id="rId2"/>
    <sheet name="Foglio3" sheetId="9" r:id="rId3"/>
    <sheet name="Foglio4" sheetId="10" r:id="rId4"/>
    <sheet name="Foglio5" sheetId="7" r:id="rId5"/>
    <sheet name="Foglio6" sheetId="4" r:id="rId6"/>
    <sheet name="Foglio7" sheetId="2" r:id="rId7"/>
    <sheet name="Foglio8" sheetId="8" r:id="rId8"/>
    <sheet name="Foglio9" sheetId="5" r:id="rId9"/>
    <sheet name="Foglio10" sheetId="6" r:id="rId10"/>
    <sheet name="Foglio11" sheetId="11" r:id="rId11"/>
    <sheet name="Foglio12" sheetId="12" r:id="rId12"/>
    <sheet name="Foglio13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3" l="1"/>
  <c r="N32" i="13"/>
  <c r="N31" i="13"/>
  <c r="G9" i="13"/>
  <c r="H9" i="13"/>
  <c r="G10" i="13"/>
  <c r="H10" i="13"/>
  <c r="G11" i="13"/>
  <c r="H11" i="13"/>
  <c r="G12" i="13"/>
  <c r="H12" i="13"/>
  <c r="G13" i="13"/>
  <c r="H13" i="13"/>
  <c r="G14" i="13"/>
  <c r="H14" i="13"/>
  <c r="G15" i="13"/>
  <c r="H15" i="13"/>
  <c r="G16" i="13"/>
  <c r="H16" i="13"/>
  <c r="G17" i="13"/>
  <c r="H17" i="13"/>
  <c r="G18" i="13"/>
  <c r="H18" i="13"/>
  <c r="G19" i="13"/>
  <c r="H19" i="13"/>
  <c r="G20" i="13"/>
  <c r="H20" i="13"/>
  <c r="G21" i="13"/>
  <c r="H21" i="13"/>
  <c r="G22" i="13"/>
  <c r="H22" i="13"/>
  <c r="G23" i="13"/>
  <c r="H23" i="13"/>
  <c r="G24" i="13"/>
  <c r="H24" i="13"/>
  <c r="G25" i="13"/>
  <c r="H25" i="13"/>
  <c r="G26" i="13"/>
  <c r="H26" i="13"/>
  <c r="G27" i="13"/>
  <c r="H27" i="13"/>
  <c r="G28" i="13"/>
  <c r="H28" i="13"/>
  <c r="G29" i="13"/>
  <c r="H29" i="13"/>
  <c r="G30" i="13"/>
  <c r="H30" i="13"/>
  <c r="G31" i="13"/>
  <c r="H31" i="13"/>
  <c r="G32" i="13"/>
  <c r="H32" i="13"/>
  <c r="H8" i="13"/>
  <c r="G8" i="13"/>
  <c r="N30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E8" i="13"/>
  <c r="D8" i="13"/>
  <c r="N28" i="13"/>
  <c r="N27" i="13"/>
  <c r="E37" i="12"/>
  <c r="E42" i="12"/>
  <c r="E44" i="12"/>
  <c r="E43" i="12"/>
  <c r="E36" i="12"/>
  <c r="L48" i="12"/>
  <c r="J48" i="12"/>
  <c r="H48" i="12"/>
  <c r="E46" i="12"/>
  <c r="C39" i="12"/>
  <c r="E35" i="12"/>
  <c r="E29" i="12"/>
  <c r="E28" i="12"/>
  <c r="E27" i="12"/>
  <c r="A24" i="12"/>
  <c r="A23" i="12"/>
  <c r="A22" i="12"/>
  <c r="A21" i="12"/>
  <c r="D25" i="12"/>
  <c r="C25" i="12"/>
  <c r="B25" i="12"/>
  <c r="E24" i="12"/>
  <c r="E23" i="12"/>
  <c r="E22" i="12"/>
  <c r="E21" i="12"/>
  <c r="E25" i="12" s="1"/>
  <c r="C50" i="11"/>
  <c r="C47" i="11"/>
  <c r="G45" i="11"/>
  <c r="F45" i="11"/>
  <c r="E45" i="11"/>
  <c r="D45" i="11"/>
  <c r="C45" i="11"/>
  <c r="H45" i="11" s="1"/>
  <c r="H44" i="11"/>
  <c r="H43" i="11"/>
  <c r="H42" i="11"/>
  <c r="H41" i="11"/>
  <c r="H40" i="11"/>
  <c r="C41" i="11"/>
  <c r="D41" i="11"/>
  <c r="E41" i="11"/>
  <c r="F41" i="11"/>
  <c r="G41" i="11"/>
  <c r="C42" i="11"/>
  <c r="D42" i="11"/>
  <c r="E42" i="11"/>
  <c r="F42" i="11"/>
  <c r="G42" i="11"/>
  <c r="C43" i="11"/>
  <c r="D43" i="11"/>
  <c r="E43" i="11"/>
  <c r="F43" i="11"/>
  <c r="G43" i="11"/>
  <c r="C44" i="11"/>
  <c r="D44" i="11"/>
  <c r="E44" i="11"/>
  <c r="F44" i="11"/>
  <c r="G44" i="11"/>
  <c r="D40" i="11"/>
  <c r="E40" i="11"/>
  <c r="F40" i="11"/>
  <c r="G40" i="11"/>
  <c r="C40" i="11"/>
  <c r="D35" i="11"/>
  <c r="E35" i="11"/>
  <c r="F35" i="11"/>
  <c r="G35" i="11"/>
  <c r="C35" i="11"/>
  <c r="H35" i="11"/>
  <c r="H31" i="11"/>
  <c r="H32" i="11"/>
  <c r="H33" i="11"/>
  <c r="H34" i="11"/>
  <c r="H30" i="11"/>
  <c r="C31" i="11"/>
  <c r="D31" i="11"/>
  <c r="E31" i="11"/>
  <c r="F31" i="11"/>
  <c r="G31" i="11"/>
  <c r="C32" i="11"/>
  <c r="D32" i="11"/>
  <c r="E32" i="11"/>
  <c r="F32" i="11"/>
  <c r="G32" i="11"/>
  <c r="C33" i="11"/>
  <c r="D33" i="11"/>
  <c r="E33" i="11"/>
  <c r="F33" i="11"/>
  <c r="G33" i="11"/>
  <c r="C34" i="11"/>
  <c r="D34" i="11"/>
  <c r="E34" i="11"/>
  <c r="F34" i="11"/>
  <c r="G34" i="11"/>
  <c r="D30" i="11"/>
  <c r="E30" i="11"/>
  <c r="F30" i="11"/>
  <c r="G30" i="11"/>
  <c r="C30" i="11"/>
  <c r="H20" i="11"/>
  <c r="H21" i="11"/>
  <c r="H22" i="11"/>
  <c r="H23" i="11"/>
  <c r="H24" i="11"/>
  <c r="H19" i="11"/>
  <c r="C20" i="11"/>
  <c r="D20" i="11"/>
  <c r="E20" i="11"/>
  <c r="F20" i="11"/>
  <c r="G20" i="11"/>
  <c r="C21" i="11"/>
  <c r="D21" i="11"/>
  <c r="E21" i="11"/>
  <c r="F21" i="11"/>
  <c r="G21" i="11"/>
  <c r="C22" i="11"/>
  <c r="D22" i="11"/>
  <c r="E22" i="11"/>
  <c r="F22" i="11"/>
  <c r="G22" i="11"/>
  <c r="C23" i="11"/>
  <c r="D23" i="11"/>
  <c r="E23" i="11"/>
  <c r="F23" i="11"/>
  <c r="G23" i="11"/>
  <c r="C24" i="11"/>
  <c r="D24" i="11"/>
  <c r="E24" i="11"/>
  <c r="F24" i="11"/>
  <c r="G24" i="11"/>
  <c r="D19" i="11"/>
  <c r="E19" i="11"/>
  <c r="F19" i="11"/>
  <c r="G19" i="11"/>
  <c r="C19" i="11"/>
  <c r="D9" i="12"/>
  <c r="C9" i="12"/>
  <c r="B9" i="12"/>
  <c r="E8" i="12"/>
  <c r="E7" i="12"/>
  <c r="E6" i="12"/>
  <c r="E5" i="12"/>
  <c r="E9" i="12" s="1"/>
  <c r="G9" i="11"/>
  <c r="F9" i="11"/>
  <c r="E9" i="11"/>
  <c r="D9" i="11"/>
  <c r="C9" i="11"/>
  <c r="H8" i="11"/>
  <c r="H7" i="11"/>
  <c r="H6" i="11"/>
  <c r="H5" i="11"/>
  <c r="H4" i="11"/>
  <c r="H9" i="11" s="1"/>
  <c r="D17" i="10" l="1"/>
  <c r="C17" i="10"/>
  <c r="B20" i="10" s="1"/>
  <c r="F9" i="10"/>
  <c r="E9" i="10"/>
  <c r="D9" i="10"/>
  <c r="C9" i="10"/>
  <c r="B25" i="10" s="1"/>
  <c r="B27" i="10" s="1"/>
  <c r="F8" i="10"/>
  <c r="F7" i="10"/>
  <c r="B19" i="10" l="1"/>
  <c r="C29" i="10" s="1"/>
  <c r="B30" i="10" s="1"/>
  <c r="B18" i="9" l="1"/>
  <c r="C14" i="9"/>
  <c r="B14" i="9"/>
  <c r="D13" i="9"/>
  <c r="D12" i="9"/>
  <c r="C19" i="9" s="1"/>
  <c r="C12" i="9"/>
  <c r="D11" i="9"/>
  <c r="B20" i="9" l="1"/>
  <c r="D14" i="9"/>
  <c r="B36" i="9" s="1"/>
  <c r="C20" i="9"/>
  <c r="B19" i="9"/>
  <c r="D19" i="9" s="1"/>
  <c r="C18" i="9"/>
  <c r="D18" i="9" s="1"/>
  <c r="B43" i="9" l="1"/>
  <c r="C35" i="9"/>
  <c r="C42" i="9" s="1"/>
  <c r="B34" i="9"/>
  <c r="D20" i="9"/>
  <c r="B35" i="9"/>
  <c r="C36" i="9"/>
  <c r="C43" i="9" s="1"/>
  <c r="C34" i="9"/>
  <c r="C41" i="9" l="1"/>
  <c r="C44" i="9" s="1"/>
  <c r="C37" i="9"/>
  <c r="B42" i="9"/>
  <c r="D42" i="9" s="1"/>
  <c r="D35" i="9"/>
  <c r="B37" i="9"/>
  <c r="B41" i="9"/>
  <c r="D34" i="9"/>
  <c r="D37" i="9" s="1"/>
  <c r="D43" i="9"/>
  <c r="D36" i="9"/>
  <c r="D41" i="9" l="1"/>
  <c r="D44" i="9" s="1"/>
  <c r="B46" i="9" s="1"/>
  <c r="B47" i="9" s="1"/>
  <c r="B44" i="9"/>
  <c r="F15" i="8" l="1"/>
  <c r="E15" i="8"/>
  <c r="D15" i="8"/>
  <c r="C15" i="8"/>
  <c r="B15" i="8"/>
  <c r="A15" i="8"/>
  <c r="F14" i="8"/>
  <c r="E14" i="8"/>
  <c r="D14" i="8"/>
  <c r="C14" i="8"/>
  <c r="B14" i="8"/>
  <c r="A14" i="8"/>
  <c r="E17" i="8" l="1"/>
  <c r="F17" i="8"/>
  <c r="B22" i="8"/>
  <c r="I15" i="8"/>
  <c r="B23" i="8"/>
  <c r="D17" i="8" s="1"/>
  <c r="I14" i="8"/>
  <c r="D20" i="8" l="1"/>
  <c r="B16" i="8"/>
  <c r="F16" i="8"/>
  <c r="F19" i="8" s="1"/>
  <c r="F18" i="8"/>
  <c r="F20" i="8"/>
  <c r="D16" i="8"/>
  <c r="D19" i="8" s="1"/>
  <c r="E20" i="8"/>
  <c r="C16" i="8"/>
  <c r="C19" i="8" s="1"/>
  <c r="C17" i="8"/>
  <c r="B17" i="8"/>
  <c r="E16" i="8"/>
  <c r="E19" i="8" s="1"/>
  <c r="I17" i="8" l="1"/>
  <c r="B20" i="8"/>
  <c r="B18" i="8"/>
  <c r="C20" i="8"/>
  <c r="C18" i="8"/>
  <c r="B19" i="8"/>
  <c r="I19" i="8" s="1"/>
  <c r="I16" i="8"/>
  <c r="E18" i="8"/>
  <c r="D18" i="8"/>
  <c r="I18" i="8" l="1"/>
  <c r="I20" i="8"/>
  <c r="B27" i="8" l="1"/>
  <c r="B36" i="8"/>
  <c r="E29" i="8" l="1"/>
  <c r="B26" i="8"/>
  <c r="B32" i="8" s="1"/>
  <c r="E22" i="3" l="1"/>
  <c r="E21" i="3"/>
  <c r="B17" i="3"/>
  <c r="C17" i="3"/>
  <c r="C16" i="3"/>
  <c r="B16" i="3"/>
  <c r="C24" i="6" l="1"/>
  <c r="C10" i="1"/>
  <c r="D10" i="1"/>
  <c r="B10" i="1"/>
  <c r="E9" i="1"/>
  <c r="E8" i="1"/>
  <c r="E7" i="1"/>
  <c r="E10" i="1" l="1"/>
  <c r="H30" i="6"/>
  <c r="H29" i="6"/>
  <c r="I18" i="6"/>
  <c r="I16" i="6"/>
  <c r="I17" i="6"/>
  <c r="I15" i="6"/>
  <c r="H15" i="6"/>
  <c r="C26" i="6"/>
  <c r="C25" i="6"/>
  <c r="G17" i="6"/>
  <c r="G16" i="6"/>
  <c r="G15" i="6"/>
  <c r="N22" i="6"/>
  <c r="N21" i="6"/>
  <c r="N19" i="6"/>
  <c r="N18" i="6"/>
  <c r="N16" i="6"/>
  <c r="N15" i="6"/>
  <c r="F16" i="6"/>
  <c r="F17" i="6"/>
  <c r="F15" i="6"/>
  <c r="E18" i="6"/>
  <c r="E16" i="6"/>
  <c r="E17" i="6"/>
  <c r="E15" i="6"/>
  <c r="C18" i="6"/>
  <c r="B18" i="6"/>
  <c r="D17" i="6"/>
  <c r="D16" i="6"/>
  <c r="B32" i="5"/>
  <c r="B29" i="5"/>
  <c r="H20" i="5"/>
  <c r="H18" i="5"/>
  <c r="H19" i="5"/>
  <c r="H17" i="5"/>
  <c r="G17" i="5"/>
  <c r="B26" i="5"/>
  <c r="F19" i="5"/>
  <c r="F18" i="5"/>
  <c r="F17" i="5"/>
  <c r="E20" i="5"/>
  <c r="E18" i="5"/>
  <c r="E19" i="5"/>
  <c r="E17" i="5"/>
  <c r="B20" i="5"/>
  <c r="D18" i="5"/>
  <c r="D19" i="5"/>
  <c r="D17" i="5"/>
  <c r="M17" i="5" s="1"/>
  <c r="M18" i="5" s="1"/>
  <c r="M23" i="5"/>
  <c r="M24" i="5" s="1"/>
  <c r="M20" i="5"/>
  <c r="M21" i="5" s="1"/>
  <c r="G6" i="4"/>
  <c r="F6" i="4"/>
  <c r="E6" i="4" l="1"/>
  <c r="D7" i="4"/>
  <c r="G7" i="4" s="1"/>
  <c r="D8" i="4"/>
  <c r="G8" i="4" s="1"/>
  <c r="D9" i="4"/>
  <c r="G9" i="4" s="1"/>
  <c r="D10" i="4"/>
  <c r="G10" i="4" s="1"/>
  <c r="D6" i="4"/>
  <c r="C7" i="4"/>
  <c r="F7" i="4" s="1"/>
  <c r="C8" i="4"/>
  <c r="F8" i="4" s="1"/>
  <c r="C9" i="4"/>
  <c r="F9" i="4" s="1"/>
  <c r="C10" i="4"/>
  <c r="F10" i="4" s="1"/>
  <c r="C6" i="4"/>
  <c r="B21" i="4"/>
  <c r="B20" i="4"/>
  <c r="B11" i="4"/>
  <c r="A11" i="4"/>
  <c r="D18" i="3"/>
  <c r="B18" i="3"/>
  <c r="G11" i="4" l="1"/>
  <c r="C11" i="4"/>
  <c r="E9" i="4"/>
  <c r="D11" i="4"/>
  <c r="E8" i="4"/>
  <c r="F11" i="4"/>
  <c r="E10" i="4"/>
  <c r="E7" i="4"/>
  <c r="E11" i="4" s="1"/>
  <c r="B23" i="4" s="1"/>
  <c r="B32" i="3"/>
  <c r="B31" i="3"/>
  <c r="D23" i="7"/>
  <c r="E23" i="7"/>
  <c r="D24" i="7"/>
  <c r="E24" i="7"/>
  <c r="E22" i="7"/>
  <c r="E25" i="7" s="1"/>
  <c r="E27" i="7" s="1"/>
  <c r="D22" i="7"/>
  <c r="C24" i="7"/>
  <c r="C23" i="7"/>
  <c r="C22" i="7"/>
  <c r="C25" i="7" s="1"/>
  <c r="C27" i="7" s="1"/>
  <c r="B23" i="7"/>
  <c r="B24" i="7"/>
  <c r="B22" i="7"/>
  <c r="F60" i="2"/>
  <c r="F59" i="2"/>
  <c r="B56" i="2"/>
  <c r="B53" i="2"/>
  <c r="B52" i="2"/>
  <c r="B45" i="2"/>
  <c r="B46" i="2"/>
  <c r="B47" i="2"/>
  <c r="B48" i="2"/>
  <c r="B44" i="2"/>
  <c r="B49" i="2" s="1"/>
  <c r="A49" i="2"/>
  <c r="B39" i="2"/>
  <c r="F24" i="2"/>
  <c r="G24" i="2"/>
  <c r="G19" i="2"/>
  <c r="G20" i="2"/>
  <c r="G21" i="2"/>
  <c r="G22" i="2"/>
  <c r="G23" i="2"/>
  <c r="F20" i="2"/>
  <c r="F21" i="2"/>
  <c r="F22" i="2"/>
  <c r="F23" i="2"/>
  <c r="F19" i="2"/>
  <c r="E24" i="2"/>
  <c r="E20" i="2"/>
  <c r="E21" i="2"/>
  <c r="E22" i="2"/>
  <c r="E23" i="2"/>
  <c r="E19" i="2"/>
  <c r="D20" i="2"/>
  <c r="D21" i="2"/>
  <c r="D22" i="2"/>
  <c r="D23" i="2"/>
  <c r="D19" i="2"/>
  <c r="D24" i="2" s="1"/>
  <c r="C24" i="2"/>
  <c r="C20" i="2"/>
  <c r="C21" i="2"/>
  <c r="C22" i="2"/>
  <c r="C23" i="2"/>
  <c r="C19" i="2"/>
  <c r="B24" i="2"/>
  <c r="A24" i="2"/>
  <c r="B36" i="2" s="1"/>
  <c r="B37" i="2"/>
  <c r="E55" i="1"/>
  <c r="E54" i="1"/>
  <c r="D56" i="1"/>
  <c r="C56" i="1"/>
  <c r="B56" i="1"/>
  <c r="B25" i="1"/>
  <c r="C25" i="1"/>
  <c r="D25" i="1"/>
  <c r="B26" i="1"/>
  <c r="C26" i="1"/>
  <c r="E26" i="1" s="1"/>
  <c r="D26" i="1"/>
  <c r="B27" i="1"/>
  <c r="C27" i="1"/>
  <c r="D27" i="1"/>
  <c r="C24" i="1"/>
  <c r="D24" i="1"/>
  <c r="B24" i="1"/>
  <c r="E40" i="1"/>
  <c r="B39" i="1"/>
  <c r="H39" i="1" s="1"/>
  <c r="C39" i="1"/>
  <c r="I39" i="1" s="1"/>
  <c r="D39" i="1"/>
  <c r="J39" i="1" s="1"/>
  <c r="B40" i="1"/>
  <c r="H40" i="1" s="1"/>
  <c r="C40" i="1"/>
  <c r="I40" i="1" s="1"/>
  <c r="D40" i="1"/>
  <c r="J40" i="1" s="1"/>
  <c r="C38" i="1"/>
  <c r="I38" i="1" s="1"/>
  <c r="D38" i="1"/>
  <c r="J38" i="1" s="1"/>
  <c r="B38" i="1"/>
  <c r="H38" i="1" s="1"/>
  <c r="B25" i="7" l="1"/>
  <c r="B27" i="7" s="1"/>
  <c r="B50" i="7" s="1"/>
  <c r="E50" i="7"/>
  <c r="E51" i="7"/>
  <c r="E49" i="7"/>
  <c r="C38" i="7"/>
  <c r="B51" i="7"/>
  <c r="C51" i="7"/>
  <c r="C50" i="7"/>
  <c r="C49" i="7"/>
  <c r="D25" i="7"/>
  <c r="D27" i="7" s="1"/>
  <c r="B33" i="3"/>
  <c r="B38" i="3"/>
  <c r="C18" i="3"/>
  <c r="B39" i="3"/>
  <c r="E25" i="1"/>
  <c r="E24" i="1"/>
  <c r="E27" i="1"/>
  <c r="E38" i="1"/>
  <c r="E39" i="1"/>
  <c r="I41" i="1"/>
  <c r="B41" i="1"/>
  <c r="D41" i="1"/>
  <c r="C41" i="1"/>
  <c r="H41" i="1"/>
  <c r="E56" i="1"/>
  <c r="E53" i="1"/>
  <c r="K39" i="1"/>
  <c r="K40" i="1"/>
  <c r="J41" i="1"/>
  <c r="B49" i="7" l="1"/>
  <c r="B52" i="7" s="1"/>
  <c r="E36" i="7"/>
  <c r="B40" i="7" s="1"/>
  <c r="C52" i="7"/>
  <c r="C54" i="7" s="1"/>
  <c r="E52" i="7"/>
  <c r="E54" i="7" s="1"/>
  <c r="D51" i="7"/>
  <c r="D49" i="7"/>
  <c r="D50" i="7"/>
  <c r="B40" i="3"/>
  <c r="C32" i="3"/>
  <c r="C31" i="3"/>
  <c r="E41" i="1"/>
  <c r="K38" i="1"/>
  <c r="K41" i="1"/>
  <c r="C43" i="1" s="1"/>
  <c r="B54" i="7" l="1"/>
  <c r="D52" i="7"/>
  <c r="D54" i="7" s="1"/>
  <c r="C33" i="3"/>
  <c r="D31" i="3"/>
  <c r="C38" i="3"/>
  <c r="C39" i="3"/>
  <c r="D39" i="3" s="1"/>
  <c r="D32" i="3"/>
  <c r="C45" i="1"/>
  <c r="D56" i="7" l="1"/>
  <c r="G58" i="7" s="1"/>
  <c r="D33" i="3"/>
  <c r="C40" i="3"/>
  <c r="D38" i="3"/>
  <c r="D40" i="3" s="1"/>
  <c r="C42" i="3" s="1"/>
  <c r="C43" i="3" s="1"/>
</calcChain>
</file>

<file path=xl/sharedStrings.xml><?xml version="1.0" encoding="utf-8"?>
<sst xmlns="http://schemas.openxmlformats.org/spreadsheetml/2006/main" count="711" uniqueCount="292">
  <si>
    <t>Voterà</t>
  </si>
  <si>
    <t>Ha votato</t>
  </si>
  <si>
    <t>Centro</t>
  </si>
  <si>
    <t>Destra</t>
  </si>
  <si>
    <t>Sinistra</t>
  </si>
  <si>
    <t>Totale</t>
  </si>
  <si>
    <t>Uomini</t>
  </si>
  <si>
    <t>Donne</t>
  </si>
  <si>
    <t xml:space="preserve">Fuma </t>
  </si>
  <si>
    <t>Non fuma</t>
  </si>
  <si>
    <t>Classi di fatturato</t>
  </si>
  <si>
    <t>N.</t>
  </si>
  <si>
    <t>(migliaia di euro)</t>
  </si>
  <si>
    <t>imprese</t>
  </si>
  <si>
    <t xml:space="preserve">(0-50] </t>
  </si>
  <si>
    <t xml:space="preserve">(50-100] </t>
  </si>
  <si>
    <t xml:space="preserve">(100-200] </t>
  </si>
  <si>
    <t>Classi di addetti</t>
  </si>
  <si>
    <t>N. imprese</t>
  </si>
  <si>
    <t>N. totale di addetti</t>
  </si>
  <si>
    <t>2-5</t>
  </si>
  <si>
    <t>6-10</t>
  </si>
  <si>
    <t>Spesa\Reddito</t>
  </si>
  <si>
    <t>Basso</t>
  </si>
  <si>
    <t>Medio</t>
  </si>
  <si>
    <t>Alto</t>
  </si>
  <si>
    <t>0-|2</t>
  </si>
  <si>
    <t>2-|5</t>
  </si>
  <si>
    <t>5-|7</t>
  </si>
  <si>
    <t>Tabella osservata</t>
  </si>
  <si>
    <t>Tabella di perfetta indipendenza</t>
  </si>
  <si>
    <t>Tabella per il calcolo del chi-quadro</t>
  </si>
  <si>
    <t>a)</t>
  </si>
  <si>
    <t>Distribuzione delle intenzioni di voto condizionate al voto passato</t>
  </si>
  <si>
    <t>b)</t>
  </si>
  <si>
    <t>Essendo le distribuzioni condizionate diverse tra loro, concludiamo che le intenzioni di voto dipendono dal voto del passato.</t>
  </si>
  <si>
    <t>c)</t>
  </si>
  <si>
    <t>Indice Chi-quadro =</t>
  </si>
  <si>
    <t>Indice di Cramer =</t>
  </si>
  <si>
    <t xml:space="preserve">d) </t>
  </si>
  <si>
    <t>Possibile tabella di perfetta dipendenza</t>
  </si>
  <si>
    <t>Matematica (x)</t>
  </si>
  <si>
    <t>Statistica (y)</t>
  </si>
  <si>
    <t>Grafico a dispersione</t>
  </si>
  <si>
    <t xml:space="preserve">b) </t>
  </si>
  <si>
    <t>Sulla base del grafico esiste correlazione positiva.</t>
  </si>
  <si>
    <t xml:space="preserve">A voti elevati in matematica, corrispondono voti elevati in statistica. </t>
  </si>
  <si>
    <t>A voti bassi in matematica, corrispondono voti bassi in statistica.</t>
  </si>
  <si>
    <t>xmedio =</t>
  </si>
  <si>
    <t>ymedio =</t>
  </si>
  <si>
    <t>(y-ymedio)</t>
  </si>
  <si>
    <t>(x-xmedio)(y-ymedio)</t>
  </si>
  <si>
    <t>(x-xmedio)</t>
  </si>
  <si>
    <t>(x-xmedio)^2</t>
  </si>
  <si>
    <t>(y-ymedio)^2</t>
  </si>
  <si>
    <t>rho =</t>
  </si>
  <si>
    <t>Elevatissima correlazione lineare positiva</t>
  </si>
  <si>
    <t>d)</t>
  </si>
  <si>
    <t>Esempio di dati con correlazione lineare positiva perfetta</t>
  </si>
  <si>
    <t>e)</t>
  </si>
  <si>
    <t>b1 =</t>
  </si>
  <si>
    <t>b0 =</t>
  </si>
  <si>
    <t>Se tra due studenti si osserva uno scarto positivo di un voto in matematica, ci si aspetta uno scarto positivo di 0,68 voti in Statistica.</t>
  </si>
  <si>
    <t>L'intercetta non è in questo caso interpretabile</t>
  </si>
  <si>
    <t>f)</t>
  </si>
  <si>
    <t>R^2 =</t>
  </si>
  <si>
    <t>La retta approssima ottimamente i dati</t>
  </si>
  <si>
    <t>g)</t>
  </si>
  <si>
    <t>Voto in statistica per uno studente che ha avuto 25 in matematica =</t>
  </si>
  <si>
    <t>Voto in statistica per uno studente che ha avuto 18 in matematica =</t>
  </si>
  <si>
    <t>n_B*y</t>
  </si>
  <si>
    <t>Medie condizionate e totale</t>
  </si>
  <si>
    <t>Essendo le medie condizionate diverse tra loro, possiamo concludere che la spesa media per vacanze dipende dal reddito</t>
  </si>
  <si>
    <t>n_M*y</t>
  </si>
  <si>
    <t>n_A*y</t>
  </si>
  <si>
    <t xml:space="preserve">Spezzata di concentrazione </t>
  </si>
  <si>
    <t>Varianza delle medie condizionate =</t>
  </si>
  <si>
    <t>Varianza totale =</t>
  </si>
  <si>
    <t>eta^2 =</t>
  </si>
  <si>
    <t>La dipendenza in media implica la dipendenza in distribuzione, quindi</t>
  </si>
  <si>
    <t>essendo eta^2 maggiore di zero, anche l'indice di Cramer sarà maggiore</t>
  </si>
  <si>
    <t>di zero e si ha quindi dipendenza in distribuzione</t>
  </si>
  <si>
    <t>n_B*(y-ymedio_B)^2</t>
  </si>
  <si>
    <t>n_A*(y-ymedio_A)^2</t>
  </si>
  <si>
    <t>n_M*(y-ymedio_M)^2</t>
  </si>
  <si>
    <t>Varianze condizionate e totale</t>
  </si>
  <si>
    <t>Media delle varianze condizionate =</t>
  </si>
  <si>
    <t>Media delle varianze condizionate + varianza delle medie condizionate =</t>
  </si>
  <si>
    <t>= varianza totale</t>
  </si>
  <si>
    <t>Percentuale di fumatori tra gli uomini =</t>
  </si>
  <si>
    <t>Percentuale di fumatrici tra le donne =</t>
  </si>
  <si>
    <t>In due caratteri non sono indipendenti, essendo le percentuali di fumatori condizionate al sesso diverse tra loro. Sulla base dei dati osservati, la percentuale di fumatori è maggiore tra gli uomini che tra le donne</t>
  </si>
  <si>
    <t>Tot</t>
  </si>
  <si>
    <t>Tabella delle contingenze quadratiche relative</t>
  </si>
  <si>
    <t>Indice eta quadro =</t>
  </si>
  <si>
    <t>Grado di dipendenza bassissimo tra sesso e propensione al fumo</t>
  </si>
  <si>
    <t>a) Grafico a dispersione</t>
  </si>
  <si>
    <t>Ore lavorate (x)</t>
  </si>
  <si>
    <t>Salario (y)</t>
  </si>
  <si>
    <t>xm =</t>
  </si>
  <si>
    <t>ym =</t>
  </si>
  <si>
    <t>(x-xm)</t>
  </si>
  <si>
    <t>(y-ym)</t>
  </si>
  <si>
    <t>(x-xm)*(y-ym)</t>
  </si>
  <si>
    <t>(x-xm)^2</t>
  </si>
  <si>
    <t>(y-ym)^2</t>
  </si>
  <si>
    <t>Correlazione positiva piuttosto forte tra salario e ore lavorate</t>
  </si>
  <si>
    <t>Ampiezza classi</t>
  </si>
  <si>
    <t>densità</t>
  </si>
  <si>
    <t xml:space="preserve">a) </t>
  </si>
  <si>
    <t>Istogramma di frequenze</t>
  </si>
  <si>
    <t>fi</t>
  </si>
  <si>
    <t>Fi</t>
  </si>
  <si>
    <t xml:space="preserve">Mediana = </t>
  </si>
  <si>
    <t>Media =</t>
  </si>
  <si>
    <t>xi</t>
  </si>
  <si>
    <t>xi*ni</t>
  </si>
  <si>
    <t>La media è maggiore della mediana poiché la distribuzione presenta asimmetria positiva</t>
  </si>
  <si>
    <t>F(35) =</t>
  </si>
  <si>
    <t>%</t>
  </si>
  <si>
    <t>Densità</t>
  </si>
  <si>
    <t>Istogramma</t>
  </si>
  <si>
    <t>Mediana =</t>
  </si>
  <si>
    <t>Q1 =</t>
  </si>
  <si>
    <t>Q3 =</t>
  </si>
  <si>
    <t>Numero medio di addetti (utilizzando la distribuzione di frequenze) =</t>
  </si>
  <si>
    <t>Numero medio di addetti (utilizzando la distribuzione di quantità) =</t>
  </si>
  <si>
    <t>Le due medie differiscono poiché la prima è approssimata (essendo basata sull'ipotesi di uniforme distribuzione all'interno delle classi) mentre la seconda è esatta</t>
  </si>
  <si>
    <t xml:space="preserve">No, infatti nella seconda e nella terza classe ci sono meno addetti di quanti non ce ne sarebbero nel caso di uniforme distribuzione all'interno delle classi. </t>
  </si>
  <si>
    <t>All'interno delle classi, le aziende sono quindi più concentrate verso i valori bassi della classe.</t>
  </si>
  <si>
    <t>Esiste un'associazione abbastanza rilevante tra voto espresso in passato e intenzioni di voto.</t>
  </si>
  <si>
    <t>Si vuole studiare la mobilità di voto degli elettori di una certa circoscrizione. Da un sondaggio telefonico risulta che:</t>
  </si>
  <si>
    <t xml:space="preserve">a) Si calcolino le distribuzioni delle intenzioni di voto, condizionate al voto passato.
</t>
  </si>
  <si>
    <t>b) Sulla base della risposta al punto precedente, si può concludere che il voto espresso in passato non sia connesso alle intenzioni di voto?</t>
  </si>
  <si>
    <t>c) Si misuri con un indice opportuno la connessione tra il voto espresso in passato e le intenzioni di voto alle prossime elezioni.</t>
  </si>
  <si>
    <t>d) Si costruisca un’ipotetica tabella di perfetta dipendenza.</t>
  </si>
  <si>
    <t>Per stimare la percentuale di fumatori nella popolazione italiana adulta viene intervistato un campione di 60 donne e uno di 40 uomini, ottenendo le seguenti risposte:</t>
  </si>
  <si>
    <t>Osservazione</t>
  </si>
  <si>
    <t>Sesso</t>
  </si>
  <si>
    <t>M</t>
  </si>
  <si>
    <t>F</t>
  </si>
  <si>
    <t>Fumatore</t>
  </si>
  <si>
    <t>No</t>
  </si>
  <si>
    <t>Sì</t>
  </si>
  <si>
    <t>a) Ricavare la tabella di distribuzione doppia rispetto ai caratteri sesso e attitudine verso il fumo</t>
  </si>
  <si>
    <t>b) Determinare la percentuale di fumatori separatamente per gli uomini e per le donne.</t>
  </si>
  <si>
    <t>c) Sulla base del punto b), si può concludere che i due caratteri siano indipendenti? Motivare la risposta.</t>
  </si>
  <si>
    <t>d) Misurare l'eventuale grado di dipendenza attraverso un indice opportuno.</t>
  </si>
  <si>
    <t xml:space="preserve">La rilevazione congiunta su 190 famiglie del livello di reddito familiare annuo e della spesa annua (in migliaia di euro) destinata a viaggi e vacanze ha fornito il seguente risultato: </t>
  </si>
  <si>
    <t xml:space="preserve">a)Calcolare la spesa media annua per vacanze, condizionata al reddito familiare </t>
  </si>
  <si>
    <t>b)Sulla base del punto a), determinare se la spesa per vacanze sia indipendente in media dal reddito familiare.</t>
  </si>
  <si>
    <t xml:space="preserve">d)Si calcoli un indice opportuno per misurare il grado di dipendenza in media della spesa per vacanze dal reddito. </t>
  </si>
  <si>
    <t xml:space="preserve">e)Stabilire senza effettuare calcoli se i due caratteri possano ritenersi indipendenti in distribuzione. </t>
  </si>
  <si>
    <t>f)Calcolare la media delle varianze condizionate e mostrare che vale la decomposizione della varianza totale.</t>
  </si>
  <si>
    <t>c)Si disegni la spezzata di regressione.</t>
  </si>
  <si>
    <t>I voti riportati da 5 studenti negli esami di matematica e di statistica sono riportati nella tabella sottostante:</t>
  </si>
  <si>
    <t>a)Si rappresentino i dati graficamente.</t>
  </si>
  <si>
    <t>b)Sulla base del grafico esiste correlazione tra i risultati nei due esami?</t>
  </si>
  <si>
    <t>c)Si calcoli un opportuno indice per misurare il grado di correlazione.</t>
  </si>
  <si>
    <t>d)Si fornisca un esempio di dati per i quali sussista perfetta correlazione positiva.</t>
  </si>
  <si>
    <t>e)Si stimi un modello di regressione per poter prevedere il voto di Statistica, sulla base del voto in matematica.</t>
  </si>
  <si>
    <t>f)Si misuri la bontà dell’adattamento della retta ai dati.</t>
  </si>
  <si>
    <t>g)Si preveda il voto in Statistica per uno studente che ha avuto 25 in matematica.</t>
  </si>
  <si>
    <t xml:space="preserve">Per ognuno dei lavoratori di una certa azienda si sono rilevati le ore </t>
  </si>
  <si>
    <t xml:space="preserve">lavorate (medie settimanali) e il corrispondente salario percepito </t>
  </si>
  <si>
    <t>(netto annuale, in migliaia di euro).</t>
  </si>
  <si>
    <t>a) Si rappresentino graficamente i dati.</t>
  </si>
  <si>
    <t xml:space="preserve">b) Si calcoli l’indice di correlazione di Bravais-Pearson tra salario e </t>
  </si>
  <si>
    <t>ore lavorate.</t>
  </si>
  <si>
    <t>Si consideri la seguente distribuzione di 50 imprese per classi di fatturato:</t>
  </si>
  <si>
    <t xml:space="preserve">b) Si calcoli il valore mediano del fatturato. </t>
  </si>
  <si>
    <t>c) Si calcoli il valore medio del fatturato e, confrontandolo con il valore mediano, si commenti la forma della distribuzione.</t>
  </si>
  <si>
    <t>d) Si calcoli la percentuale di imprese con fatturato inferiore a 35 mila euro.</t>
  </si>
  <si>
    <t>a) Si rappresenti graficamente la distribuzione in maniera opportuna.</t>
  </si>
  <si>
    <t>Si consideri la seguente distribuzione di 50 imprese per classi di addetti:</t>
  </si>
  <si>
    <t xml:space="preserve">b) Si calcolino la mediana e i quartili della distribuzione di addetti. </t>
  </si>
  <si>
    <t>c) Si calcoli il numero medio di addetti, utilizzando la distribuzione di frequenze e utilizzando la distribuzione di quantità e si spieghi da cosa dipende la differenza osservata tra le due medie.</t>
  </si>
  <si>
    <t>d) Sulla base della distribuzione di quantità, si può affermare che l’assunzione di uniforme distribuzione nelle classi sia rispettata?</t>
  </si>
  <si>
    <t xml:space="preserve">Per prevedere il numero di arrivi turistici nell'anno corrente in una determinata zona, vengono presi </t>
  </si>
  <si>
    <t>in considerazione i dati sugli arrivi turistici osservati nel passato.</t>
  </si>
  <si>
    <t>La tabella seguente riporta i dati relativi agli arrivi turistici (in migliaia)</t>
  </si>
  <si>
    <t>e gli anni.</t>
  </si>
  <si>
    <t>Arrivi turistici (x1000)</t>
  </si>
  <si>
    <t>Anno</t>
  </si>
  <si>
    <t>b) Si stimino i parametri del modello di regressione per prevedere gli arrivi turistici in funzione degli anni e si interpreti il valore del coefficiente angolare.</t>
  </si>
  <si>
    <t>c) Si prevedano gli arrivi turistici per il 2022.</t>
  </si>
  <si>
    <t>d) Si calcoli l'indice di determinazione, si commenti il suo valore e si spieghi cosa si intende con il termine "varianza spiegata".</t>
  </si>
  <si>
    <t>(x-xm)(y-ym)</t>
  </si>
  <si>
    <t xml:space="preserve">xm = </t>
  </si>
  <si>
    <t xml:space="preserve">b0 = </t>
  </si>
  <si>
    <t xml:space="preserve">b1 = </t>
  </si>
  <si>
    <t xml:space="preserve">Da un anno all'altro, gli arrivi turistici aumentano in media di </t>
  </si>
  <si>
    <t>unità</t>
  </si>
  <si>
    <t>Arrivi previsti per il 2022</t>
  </si>
  <si>
    <t>R quadro =</t>
  </si>
  <si>
    <t>Approx. Non particolarmente buona della retta ai dati</t>
  </si>
  <si>
    <t>La varianza spiegata indica la parte di variabilità totale della Y (gli arrivi) che dipende</t>
  </si>
  <si>
    <t>dalle variazioni della X (il tempo)</t>
  </si>
  <si>
    <t xml:space="preserve">La tabella seguente riporta le chiamate ad un call center in un particolare giorno, catalogate per </t>
  </si>
  <si>
    <t>centralinista che ha gestito la chiamata ed esito (problema risolto o non risolto)</t>
  </si>
  <si>
    <t>a) Si calcolino le distribuzioni rispetto al carattere "Esito della risposta" condizionatamente al centralinista.</t>
  </si>
  <si>
    <t>b) Si rappresentino graficamente le distribuzioni calcolate al punto a) e si commenti il grafico.</t>
  </si>
  <si>
    <t>c) Sulla base del punto a), si può concludere che ci sia indipendenza tra i due caratteri? Motivare la risposta.</t>
  </si>
  <si>
    <t>d) Costruire un opportuno indice per misurare la forza dell'associazione tra i due caratteri e si commenti il risultato.</t>
  </si>
  <si>
    <t>Esito</t>
  </si>
  <si>
    <t>Centralinista</t>
  </si>
  <si>
    <t>Positivo</t>
  </si>
  <si>
    <t>Negativo</t>
  </si>
  <si>
    <t>A</t>
  </si>
  <si>
    <t>B</t>
  </si>
  <si>
    <t>C</t>
  </si>
  <si>
    <t>Essendo le frequenze condizionate diverse tra loro, dobbiamo concludere che non c'è indipendenza tra i due caratteri.</t>
  </si>
  <si>
    <t>Chiquadro =</t>
  </si>
  <si>
    <t>Indice di cramer =</t>
  </si>
  <si>
    <t>C'è un moderato grado di associazione tra i due caratteri</t>
  </si>
  <si>
    <t xml:space="preserve">La distribuzione di un determinato collettivo per classi di reddito </t>
  </si>
  <si>
    <t>e per titolo di studio è la seguente:</t>
  </si>
  <si>
    <t>Reddito mensile</t>
  </si>
  <si>
    <t>900-1300</t>
  </si>
  <si>
    <t>1300-2000</t>
  </si>
  <si>
    <t>2000-5000</t>
  </si>
  <si>
    <t>Diploma</t>
  </si>
  <si>
    <t>Laurea</t>
  </si>
  <si>
    <t>a) Si calcoli il reddito medio condizionatamente al titolo di studio.</t>
  </si>
  <si>
    <t xml:space="preserve">b) Sulla base del punto precendente, si può affermare che il reddito sia indipendente in media dal titolo di studio? </t>
  </si>
  <si>
    <t>c) Si calcoli un indice opportuno per misurare il grado di dipendenza in media del reddito dal titolo di studio e si commenti il risultato.</t>
  </si>
  <si>
    <t>d) Sulla base dei punti precedenti, si può affermare che il reddito sia indipendente statisticamente dal titolo di studio? Motivare la risposta.</t>
  </si>
  <si>
    <t>Valori centrali di classe:</t>
  </si>
  <si>
    <t>Medie condizionate:</t>
  </si>
  <si>
    <t>b) Poiché le medie condizionate  sono diverse tra loro, possiamo concludere che il reddito dipende in media dal titolo di studio</t>
  </si>
  <si>
    <t>media generale =</t>
  </si>
  <si>
    <t>Varianza totale=</t>
  </si>
  <si>
    <t>Varianza delle medie di classe =</t>
  </si>
  <si>
    <t>h =</t>
  </si>
  <si>
    <t>Il titolo di studio spiega il 15% della variabilità osservata nei redditi.</t>
  </si>
  <si>
    <t>No, in quanto la dipendenza in media implica la dipendenza statistica</t>
  </si>
  <si>
    <t>La seguente tabella riporta la distribuzione di 14131 coppie rispetto al titolo di studio del marito e rispetto al titolo di studio della moglie</t>
  </si>
  <si>
    <t>Istruzione moglie</t>
  </si>
  <si>
    <t>Istruzione marito</t>
  </si>
  <si>
    <t>Licenza media</t>
  </si>
  <si>
    <t>Licenza elementare</t>
  </si>
  <si>
    <t>Nessun titolo</t>
  </si>
  <si>
    <t>a) Calcolare le distribuzioni dell'Istruzione della moglie, condizionate all'istruzione del marito e stabilire se sussista indipendenza tra i due caratteri</t>
  </si>
  <si>
    <t>b) Si calcoli la tabella ipotetica di perfetta indipendenza</t>
  </si>
  <si>
    <t>c) Si calcoli l'indice chi-quadrato</t>
  </si>
  <si>
    <t>d) Si calcoli l'indice di Cramer</t>
  </si>
  <si>
    <t>La tabella riporta la popolazione occupata (in migliaia di unità) in una certa regione e in un certo anno, classificata per reddito annuo Y (migliaia di euro) e per settore di attività economica A :</t>
  </si>
  <si>
    <t>Settore</t>
  </si>
  <si>
    <t>Reddito</t>
  </si>
  <si>
    <t>Agricoltura</t>
  </si>
  <si>
    <t>Industria</t>
  </si>
  <si>
    <t>Altre attività</t>
  </si>
  <si>
    <t>Fino a 15</t>
  </si>
  <si>
    <t>15-30</t>
  </si>
  <si>
    <t>30-45</t>
  </si>
  <si>
    <t>45-65</t>
  </si>
  <si>
    <t>a) Si calcolino le medie condizionate del reddito rispetto al settore di occupazione e si determini se sussiste dipendenza in media del reddito dal settore di occupazione</t>
  </si>
  <si>
    <t>b) Si calcoli un opportuno indice per misurare il grado di dipendenza in media</t>
  </si>
  <si>
    <t>c) Si verifichi la scomposizione della varianza totale in varianza spiegata e varianza residua</t>
  </si>
  <si>
    <t>d) Si disegni la spezzata di regressione</t>
  </si>
  <si>
    <t>I dati seguenti si riferiscono ai prezzi di chiusura registrati per i titoli Eni ed Enel nell'ultimo mese.</t>
  </si>
  <si>
    <t>a) Si disegni un grafico a dispersione e sulla base del grafico si concluda se i due titoli sono correlati positivamente o negativamente</t>
  </si>
  <si>
    <t>b) Si calcoli la covarianza tra i due titoli</t>
  </si>
  <si>
    <t>c) Si calcoli la correlazione tra i due titoli e si commenti il risultato</t>
  </si>
  <si>
    <t>Date</t>
  </si>
  <si>
    <t>Close Eni</t>
  </si>
  <si>
    <t>Close Enel</t>
  </si>
  <si>
    <t>a )</t>
  </si>
  <si>
    <t>Chi-quadro =</t>
  </si>
  <si>
    <t>Reddito medio in agricoltura =</t>
  </si>
  <si>
    <t>Reddito medio nell'industria =</t>
  </si>
  <si>
    <t>Reddito medio nelle altre attività =</t>
  </si>
  <si>
    <t>Reddito medio generale =</t>
  </si>
  <si>
    <t>Essendo le medie condizionate diverse tra loro, dobbiamo concludere che il reddito dipende in media dal settore di impiego.</t>
  </si>
  <si>
    <t>Varianza del reddito in agricoltura =</t>
  </si>
  <si>
    <t>Varianza del reddito nell'industria =</t>
  </si>
  <si>
    <t>Varianza del reddito nelle altre attività =</t>
  </si>
  <si>
    <t>Varianza delle medie condizionate + Media delle varianze condizionate =</t>
  </si>
  <si>
    <t>+</t>
  </si>
  <si>
    <t>=</t>
  </si>
  <si>
    <t>Varianza totale</t>
  </si>
  <si>
    <t>Prezzo medio Eni =</t>
  </si>
  <si>
    <t>Prezzo medio Enel =</t>
  </si>
  <si>
    <t>Eni-media(Eni))</t>
  </si>
  <si>
    <t>Enel-media(Enel)</t>
  </si>
  <si>
    <t>Prodotto scarti</t>
  </si>
  <si>
    <t>Covarianza =</t>
  </si>
  <si>
    <t>Scarti^2 Eni</t>
  </si>
  <si>
    <t>Scarti^2 Enel</t>
  </si>
  <si>
    <t>Varianza Eni =</t>
  </si>
  <si>
    <t>Varianza Enel =</t>
  </si>
  <si>
    <t>Correlazione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</si>
</sst>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Symbol"/>
      <family val="1"/>
      <charset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000000"/>
      </right>
      <top style="thick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ck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0" fontId="4" fillId="0" borderId="11" xfId="0" applyFont="1" applyBorder="1" applyAlignment="1">
      <alignment horizontal="left" vertical="center" wrapText="1" readingOrder="1"/>
    </xf>
    <xf numFmtId="0" fontId="4" fillId="2" borderId="11" xfId="0" applyFont="1" applyFill="1" applyBorder="1" applyAlignment="1">
      <alignment horizontal="center" wrapText="1" readingOrder="1"/>
    </xf>
    <xf numFmtId="0" fontId="4" fillId="2" borderId="12" xfId="0" applyFont="1" applyFill="1" applyBorder="1" applyAlignment="1">
      <alignment horizontal="center" wrapText="1" readingOrder="1"/>
    </xf>
    <xf numFmtId="0" fontId="4" fillId="2" borderId="5" xfId="0" applyFont="1" applyFill="1" applyBorder="1" applyAlignment="1">
      <alignment horizontal="center" wrapText="1" readingOrder="1"/>
    </xf>
    <xf numFmtId="0" fontId="4" fillId="2" borderId="6" xfId="0" applyFont="1" applyFill="1" applyBorder="1" applyAlignment="1">
      <alignment horizontal="center" wrapText="1" readingOrder="1"/>
    </xf>
    <xf numFmtId="0" fontId="4" fillId="2" borderId="8" xfId="0" applyFont="1" applyFill="1" applyBorder="1" applyAlignment="1">
      <alignment horizontal="center" wrapText="1" readingOrder="1"/>
    </xf>
    <xf numFmtId="0" fontId="4" fillId="2" borderId="9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2" xfId="0" applyFont="1" applyFill="1" applyBorder="1" applyAlignment="1">
      <alignment horizontal="center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5" fillId="2" borderId="15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wrapText="1" readingOrder="1"/>
    </xf>
    <xf numFmtId="16" fontId="5" fillId="2" borderId="8" xfId="0" quotePrefix="1" applyNumberFormat="1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readingOrder="1"/>
    </xf>
    <xf numFmtId="0" fontId="1" fillId="0" borderId="0" xfId="0" applyFont="1"/>
    <xf numFmtId="0" fontId="3" fillId="2" borderId="0" xfId="0" applyFont="1" applyFill="1" applyBorder="1" applyAlignment="1">
      <alignment horizontal="center" vertical="center" wrapText="1" readingOrder="1"/>
    </xf>
    <xf numFmtId="0" fontId="0" fillId="0" borderId="0" xfId="0" quotePrefix="1"/>
    <xf numFmtId="0" fontId="4" fillId="2" borderId="0" xfId="0" applyFont="1" applyFill="1" applyBorder="1" applyAlignment="1">
      <alignment horizontal="left" readingOrder="1"/>
    </xf>
    <xf numFmtId="0" fontId="5" fillId="2" borderId="0" xfId="0" applyFont="1" applyFill="1" applyBorder="1" applyAlignment="1">
      <alignment horizont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left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7" fillId="0" borderId="0" xfId="0" applyFont="1" applyAlignment="1"/>
    <xf numFmtId="0" fontId="6" fillId="2" borderId="11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 readingOrder="1"/>
    </xf>
    <xf numFmtId="0" fontId="6" fillId="2" borderId="11" xfId="0" applyFont="1" applyFill="1" applyBorder="1" applyAlignment="1">
      <alignment horizontal="center" wrapText="1" readingOrder="1"/>
    </xf>
    <xf numFmtId="0" fontId="6" fillId="2" borderId="12" xfId="0" applyFont="1" applyFill="1" applyBorder="1" applyAlignment="1">
      <alignment horizontal="center" wrapText="1" readingOrder="1"/>
    </xf>
    <xf numFmtId="0" fontId="6" fillId="2" borderId="5" xfId="0" applyFont="1" applyFill="1" applyBorder="1" applyAlignment="1">
      <alignment horizontal="center" wrapText="1" readingOrder="1"/>
    </xf>
    <xf numFmtId="0" fontId="6" fillId="2" borderId="6" xfId="0" applyFont="1" applyFill="1" applyBorder="1" applyAlignment="1">
      <alignment horizontal="center" wrapText="1" readingOrder="1"/>
    </xf>
    <xf numFmtId="0" fontId="6" fillId="2" borderId="8" xfId="0" applyFont="1" applyFill="1" applyBorder="1" applyAlignment="1">
      <alignment horizontal="center" wrapText="1" readingOrder="1"/>
    </xf>
    <xf numFmtId="0" fontId="6" fillId="2" borderId="9" xfId="0" applyFont="1" applyFill="1" applyBorder="1" applyAlignment="1">
      <alignment horizontal="center" wrapText="1" readingOrder="1"/>
    </xf>
    <xf numFmtId="0" fontId="8" fillId="2" borderId="11" xfId="0" applyFont="1" applyFill="1" applyBorder="1" applyAlignment="1">
      <alignment horizontal="center" wrapText="1" readingOrder="1"/>
    </xf>
    <xf numFmtId="0" fontId="8" fillId="2" borderId="14" xfId="0" applyFont="1" applyFill="1" applyBorder="1" applyAlignment="1">
      <alignment horizontal="center" wrapText="1" readingOrder="1"/>
    </xf>
    <xf numFmtId="0" fontId="8" fillId="2" borderId="12" xfId="0" applyFont="1" applyFill="1" applyBorder="1" applyAlignment="1">
      <alignment horizontal="center" wrapText="1" readingOrder="1"/>
    </xf>
    <xf numFmtId="0" fontId="8" fillId="2" borderId="5" xfId="0" applyFont="1" applyFill="1" applyBorder="1" applyAlignment="1">
      <alignment horizontal="center" wrapText="1" readingOrder="1"/>
    </xf>
    <xf numFmtId="0" fontId="8" fillId="2" borderId="15" xfId="0" applyFont="1" applyFill="1" applyBorder="1" applyAlignment="1">
      <alignment horizontal="center" wrapText="1" readingOrder="1"/>
    </xf>
    <xf numFmtId="0" fontId="8" fillId="2" borderId="6" xfId="0" applyFont="1" applyFill="1" applyBorder="1" applyAlignment="1">
      <alignment horizontal="center" wrapText="1" readingOrder="1"/>
    </xf>
    <xf numFmtId="16" fontId="8" fillId="2" borderId="8" xfId="0" quotePrefix="1" applyNumberFormat="1" applyFont="1" applyFill="1" applyBorder="1" applyAlignment="1">
      <alignment horizontal="center" wrapText="1" readingOrder="1"/>
    </xf>
    <xf numFmtId="0" fontId="8" fillId="2" borderId="16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wrapText="1" readingOrder="1"/>
    </xf>
    <xf numFmtId="0" fontId="9" fillId="0" borderId="0" xfId="0" applyFont="1"/>
    <xf numFmtId="0" fontId="2" fillId="0" borderId="0" xfId="0" applyFont="1" applyBorder="1"/>
    <xf numFmtId="0" fontId="0" fillId="0" borderId="0" xfId="0" applyBorder="1"/>
    <xf numFmtId="0" fontId="9" fillId="0" borderId="17" xfId="0" applyFont="1" applyBorder="1"/>
    <xf numFmtId="0" fontId="9" fillId="0" borderId="18" xfId="0" applyFont="1" applyBorder="1"/>
    <xf numFmtId="0" fontId="9" fillId="0" borderId="0" xfId="0" applyFont="1" applyBorder="1"/>
    <xf numFmtId="0" fontId="10" fillId="0" borderId="0" xfId="0" applyFont="1" applyBorder="1"/>
    <xf numFmtId="0" fontId="11" fillId="0" borderId="17" xfId="0" applyFont="1" applyBorder="1"/>
    <xf numFmtId="0" fontId="11" fillId="0" borderId="19" xfId="0" applyFont="1" applyBorder="1"/>
    <xf numFmtId="0" fontId="12" fillId="0" borderId="19" xfId="0" applyFont="1" applyBorder="1"/>
    <xf numFmtId="0" fontId="11" fillId="0" borderId="0" xfId="0" applyFont="1" applyBorder="1"/>
    <xf numFmtId="0" fontId="11" fillId="0" borderId="18" xfId="0" applyFont="1" applyBorder="1"/>
    <xf numFmtId="0" fontId="13" fillId="0" borderId="0" xfId="0" applyFont="1"/>
    <xf numFmtId="0" fontId="13" fillId="0" borderId="0" xfId="0" applyFont="1" applyBorder="1"/>
    <xf numFmtId="0" fontId="0" fillId="0" borderId="0" xfId="0" applyFont="1" applyFill="1" applyBorder="1"/>
    <xf numFmtId="0" fontId="13" fillId="0" borderId="0" xfId="0" applyFont="1" applyFill="1" applyBorder="1"/>
    <xf numFmtId="0" fontId="10" fillId="0" borderId="0" xfId="0" applyFont="1"/>
    <xf numFmtId="0" fontId="10" fillId="0" borderId="0" xfId="0" quotePrefix="1" applyFont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14" fillId="0" borderId="0" xfId="0" applyFont="1" applyBorder="1"/>
    <xf numFmtId="0" fontId="2" fillId="0" borderId="0" xfId="0" applyFont="1" applyFill="1" applyBorder="1"/>
    <xf numFmtId="0" fontId="2" fillId="0" borderId="0" xfId="0" quotePrefix="1" applyFont="1" applyBorder="1"/>
    <xf numFmtId="0" fontId="9" fillId="0" borderId="20" xfId="0" quotePrefix="1" applyFont="1" applyBorder="1"/>
    <xf numFmtId="0" fontId="9" fillId="0" borderId="0" xfId="0" quotePrefix="1" applyFont="1" applyBorder="1"/>
    <xf numFmtId="0" fontId="9" fillId="0" borderId="20" xfId="0" applyFont="1" applyBorder="1"/>
    <xf numFmtId="0" fontId="9" fillId="0" borderId="19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0" xfId="0" applyFont="1" applyAlignment="1"/>
    <xf numFmtId="0" fontId="15" fillId="0" borderId="0" xfId="0" applyFont="1"/>
    <xf numFmtId="0" fontId="13" fillId="0" borderId="0" xfId="0" applyFont="1" applyBorder="1" applyAlignment="1">
      <alignment vertical="center" textRotation="90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0" xfId="0" quotePrefix="1" applyFont="1"/>
    <xf numFmtId="14" fontId="7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delle chiamate per centralinista e esito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Problema risolto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Foglio3!$A$18:$A$20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Foglio3!$B$18:$B$20</c:f>
              <c:numCache>
                <c:formatCode>General</c:formatCode>
                <c:ptCount val="3"/>
                <c:pt idx="0">
                  <c:v>0.80991735537190079</c:v>
                </c:pt>
                <c:pt idx="1">
                  <c:v>0.77702702702702697</c:v>
                </c:pt>
                <c:pt idx="2">
                  <c:v>0.96250000000000002</c:v>
                </c:pt>
              </c:numCache>
            </c:numRef>
          </c:val>
        </c:ser>
        <c:ser>
          <c:idx val="1"/>
          <c:order val="1"/>
          <c:tx>
            <c:v>Problema non risolto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Foglio3!$A$18:$A$20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Foglio3!$C$18:$C$20</c:f>
              <c:numCache>
                <c:formatCode>General</c:formatCode>
                <c:ptCount val="3"/>
                <c:pt idx="0">
                  <c:v>0.19008264462809918</c:v>
                </c:pt>
                <c:pt idx="1">
                  <c:v>0.22297297297297297</c:v>
                </c:pt>
                <c:pt idx="2">
                  <c:v>3.7499999999999999E-2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4636768"/>
        <c:axId val="1624636224"/>
      </c:barChart>
      <c:catAx>
        <c:axId val="162463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4636224"/>
        <c:crosses val="autoZero"/>
        <c:auto val="1"/>
        <c:lblAlgn val="ctr"/>
        <c:lblOffset val="100"/>
        <c:noMultiLvlLbl val="0"/>
      </c:catAx>
      <c:valAx>
        <c:axId val="16246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463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Spezzata di concentrazione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Foglio5!$B$27:$D$27</c:f>
              <c:strCache>
                <c:ptCount val="3"/>
                <c:pt idx="0">
                  <c:v>2,071428571</c:v>
                </c:pt>
                <c:pt idx="1">
                  <c:v>3,115384615</c:v>
                </c:pt>
                <c:pt idx="2">
                  <c:v>5,090909091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Foglio5!$B$5:$D$5</c:f>
              <c:strCache>
                <c:ptCount val="3"/>
                <c:pt idx="0">
                  <c:v>Basso</c:v>
                </c:pt>
                <c:pt idx="1">
                  <c:v>Medio</c:v>
                </c:pt>
                <c:pt idx="2">
                  <c:v>Alto</c:v>
                </c:pt>
              </c:strCache>
            </c:strRef>
          </c:cat>
          <c:val>
            <c:numRef>
              <c:f>Foglio5!$B$27:$D$27</c:f>
              <c:numCache>
                <c:formatCode>General</c:formatCode>
                <c:ptCount val="3"/>
                <c:pt idx="0">
                  <c:v>2.0714285714285716</c:v>
                </c:pt>
                <c:pt idx="1">
                  <c:v>3.1153846153846154</c:v>
                </c:pt>
                <c:pt idx="2">
                  <c:v>5.0909090909090908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619891968"/>
        <c:axId val="1619894688"/>
      </c:lineChart>
      <c:catAx>
        <c:axId val="1619891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Reddito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9894688"/>
        <c:crosses val="autoZero"/>
        <c:auto val="1"/>
        <c:lblAlgn val="ctr"/>
        <c:lblOffset val="100"/>
        <c:noMultiLvlLbl val="0"/>
      </c:catAx>
      <c:valAx>
        <c:axId val="161989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Spesa media per vacanze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989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Grafico a dispersione del salario rispetto alle ore lavorate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Foglio6!$A$6:$A$10</c:f>
              <c:numCache>
                <c:formatCode>General</c:formatCode>
                <c:ptCount val="5"/>
                <c:pt idx="0">
                  <c:v>29</c:v>
                </c:pt>
                <c:pt idx="1">
                  <c:v>31</c:v>
                </c:pt>
                <c:pt idx="2">
                  <c:v>33</c:v>
                </c:pt>
                <c:pt idx="3">
                  <c:v>28</c:v>
                </c:pt>
                <c:pt idx="4">
                  <c:v>32</c:v>
                </c:pt>
              </c:numCache>
            </c:numRef>
          </c:xVal>
          <c:yVal>
            <c:numRef>
              <c:f>Foglio6!$B$6:$B$10</c:f>
              <c:numCache>
                <c:formatCode>General</c:formatCode>
                <c:ptCount val="5"/>
                <c:pt idx="0">
                  <c:v>13.5</c:v>
                </c:pt>
                <c:pt idx="1">
                  <c:v>13.9</c:v>
                </c:pt>
                <c:pt idx="2">
                  <c:v>14.2</c:v>
                </c:pt>
                <c:pt idx="3">
                  <c:v>13.6</c:v>
                </c:pt>
                <c:pt idx="4">
                  <c:v>13.8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894144"/>
        <c:axId val="1619891424"/>
      </c:scatterChart>
      <c:valAx>
        <c:axId val="161989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Ore lavorate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9891424"/>
        <c:crosses val="autoZero"/>
        <c:crossBetween val="midCat"/>
      </c:valAx>
      <c:valAx>
        <c:axId val="16198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9894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Grafico a dispersione dei voti di Statistica rispetto ai voti di Matematica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Foglio7!$A$19:$A$23</c:f>
              <c:numCache>
                <c:formatCode>General</c:formatCode>
                <c:ptCount val="5"/>
                <c:pt idx="0">
                  <c:v>21</c:v>
                </c:pt>
                <c:pt idx="1">
                  <c:v>27</c:v>
                </c:pt>
                <c:pt idx="2">
                  <c:v>25</c:v>
                </c:pt>
                <c:pt idx="3">
                  <c:v>19</c:v>
                </c:pt>
                <c:pt idx="4">
                  <c:v>29</c:v>
                </c:pt>
              </c:numCache>
            </c:numRef>
          </c:xVal>
          <c:yVal>
            <c:numRef>
              <c:f>Foglio7!$B$19:$B$23</c:f>
              <c:numCache>
                <c:formatCode>General</c:formatCode>
                <c:ptCount val="5"/>
                <c:pt idx="0">
                  <c:v>23</c:v>
                </c:pt>
                <c:pt idx="1">
                  <c:v>25</c:v>
                </c:pt>
                <c:pt idx="2">
                  <c:v>25</c:v>
                </c:pt>
                <c:pt idx="3">
                  <c:v>20</c:v>
                </c:pt>
                <c:pt idx="4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396592"/>
        <c:axId val="1628391696"/>
      </c:scatterChart>
      <c:valAx>
        <c:axId val="1628396592"/>
        <c:scaling>
          <c:orientation val="minMax"/>
          <c:max val="30"/>
          <c:min val="1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Voto in matematica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8391696"/>
        <c:crosses val="autoZero"/>
        <c:crossBetween val="midCat"/>
      </c:valAx>
      <c:valAx>
        <c:axId val="1628391696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Voto in statistica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839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Serie storica degli arrivi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Foglio8!$B$7:$F$7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xVal>
          <c:yVal>
            <c:numRef>
              <c:f>Foglio8!$B$6:$F$6</c:f>
              <c:numCache>
                <c:formatCode>General</c:formatCode>
                <c:ptCount val="5"/>
                <c:pt idx="0">
                  <c:v>781</c:v>
                </c:pt>
                <c:pt idx="1">
                  <c:v>843</c:v>
                </c:pt>
                <c:pt idx="2">
                  <c:v>972</c:v>
                </c:pt>
                <c:pt idx="3">
                  <c:v>887</c:v>
                </c:pt>
                <c:pt idx="4">
                  <c:v>923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342096"/>
        <c:axId val="1615339920"/>
      </c:scatterChart>
      <c:valAx>
        <c:axId val="161534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5339920"/>
        <c:crosses val="autoZero"/>
        <c:crossBetween val="midCat"/>
      </c:valAx>
      <c:valAx>
        <c:axId val="1615339920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5342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delle imprese per classi di fatturato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Foglio9!$L$16:$L$25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200</c:v>
                </c:pt>
                <c:pt idx="9">
                  <c:v>200</c:v>
                </c:pt>
              </c:numCache>
            </c:numRef>
          </c:xVal>
          <c:yVal>
            <c:numRef>
              <c:f>Foglio9!$M$16:$M$25</c:f>
              <c:numCache>
                <c:formatCode>General</c:formatCode>
                <c:ptCount val="10"/>
                <c:pt idx="0">
                  <c:v>0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</c:v>
                </c:pt>
                <c:pt idx="4">
                  <c:v>0.3</c:v>
                </c:pt>
                <c:pt idx="5">
                  <c:v>0.3</c:v>
                </c:pt>
                <c:pt idx="6">
                  <c:v>0</c:v>
                </c:pt>
                <c:pt idx="7">
                  <c:v>0.06</c:v>
                </c:pt>
                <c:pt idx="8">
                  <c:v>0.06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340464"/>
        <c:axId val="1615343184"/>
      </c:scatterChart>
      <c:valAx>
        <c:axId val="1615340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Fatturato (milioni di euro)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5343184"/>
        <c:crosses val="autoZero"/>
        <c:crossBetween val="midCat"/>
      </c:valAx>
      <c:valAx>
        <c:axId val="161534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534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delle imprese rispetto al numero di addetti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Foglio10!$M$14:$M$23</c:f>
              <c:numCache>
                <c:formatCode>General</c:formatCode>
                <c:ptCount val="10"/>
                <c:pt idx="0">
                  <c:v>0.5</c:v>
                </c:pt>
                <c:pt idx="1">
                  <c:v>0.5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10.5</c:v>
                </c:pt>
                <c:pt idx="9">
                  <c:v>10.5</c:v>
                </c:pt>
              </c:numCache>
            </c:numRef>
          </c:xVal>
          <c:yVal>
            <c:numRef>
              <c:f>Foglio10!$N$14:$N$23</c:f>
              <c:numCache>
                <c:formatCode>General</c:formatCode>
                <c:ptCount val="10"/>
                <c:pt idx="0">
                  <c:v>0</c:v>
                </c:pt>
                <c:pt idx="1">
                  <c:v>0.44</c:v>
                </c:pt>
                <c:pt idx="2">
                  <c:v>0.44</c:v>
                </c:pt>
                <c:pt idx="3">
                  <c:v>0</c:v>
                </c:pt>
                <c:pt idx="4">
                  <c:v>0.09</c:v>
                </c:pt>
                <c:pt idx="5">
                  <c:v>0.09</c:v>
                </c:pt>
                <c:pt idx="6">
                  <c:v>0</c:v>
                </c:pt>
                <c:pt idx="7">
                  <c:v>0.04</c:v>
                </c:pt>
                <c:pt idx="8">
                  <c:v>0.04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344736"/>
        <c:axId val="1450343648"/>
      </c:scatterChart>
      <c:valAx>
        <c:axId val="1450344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addetti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343648"/>
        <c:crosses val="autoZero"/>
        <c:crossBetween val="midCat"/>
      </c:valAx>
      <c:valAx>
        <c:axId val="145034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344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Spezzata di regressione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Foglio12!$B$20:$D$20</c:f>
              <c:strCache>
                <c:ptCount val="3"/>
                <c:pt idx="0">
                  <c:v>Agricoltura</c:v>
                </c:pt>
                <c:pt idx="1">
                  <c:v>Industria</c:v>
                </c:pt>
                <c:pt idx="2">
                  <c:v>Altre attività</c:v>
                </c:pt>
              </c:strCache>
            </c:strRef>
          </c:cat>
          <c:val>
            <c:numRef>
              <c:f>Foglio12!$E$27:$E$29</c:f>
              <c:numCache>
                <c:formatCode>General</c:formatCode>
                <c:ptCount val="3"/>
                <c:pt idx="0">
                  <c:v>19.906832298136646</c:v>
                </c:pt>
                <c:pt idx="1">
                  <c:v>36.576086956521742</c:v>
                </c:pt>
                <c:pt idx="2">
                  <c:v>31.791521486643436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919792"/>
        <c:axId val="1364920336"/>
      </c:lineChart>
      <c:catAx>
        <c:axId val="136491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4920336"/>
        <c:crosses val="autoZero"/>
        <c:auto val="1"/>
        <c:lblAlgn val="ctr"/>
        <c:lblOffset val="100"/>
        <c:noMultiLvlLbl val="0"/>
      </c:catAx>
      <c:valAx>
        <c:axId val="136492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Reddito medio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491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Grafico a dispersione dei prezzi di chiusura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Foglio13!$B$8:$B$32</c:f>
              <c:numCache>
                <c:formatCode>General</c:formatCode>
                <c:ptCount val="25"/>
                <c:pt idx="0">
                  <c:v>25.68</c:v>
                </c:pt>
                <c:pt idx="1">
                  <c:v>25.700001</c:v>
                </c:pt>
                <c:pt idx="2">
                  <c:v>25.18</c:v>
                </c:pt>
                <c:pt idx="3">
                  <c:v>25</c:v>
                </c:pt>
                <c:pt idx="4">
                  <c:v>25.02</c:v>
                </c:pt>
                <c:pt idx="5">
                  <c:v>24.51</c:v>
                </c:pt>
                <c:pt idx="6">
                  <c:v>24.92</c:v>
                </c:pt>
                <c:pt idx="7">
                  <c:v>24.309999000000001</c:v>
                </c:pt>
                <c:pt idx="8">
                  <c:v>22.809999000000001</c:v>
                </c:pt>
                <c:pt idx="9">
                  <c:v>17.829999999999998</c:v>
                </c:pt>
                <c:pt idx="10">
                  <c:v>19.190000999999999</c:v>
                </c:pt>
                <c:pt idx="11">
                  <c:v>17.899999999999999</c:v>
                </c:pt>
                <c:pt idx="12">
                  <c:v>14.85</c:v>
                </c:pt>
                <c:pt idx="13">
                  <c:v>16.27</c:v>
                </c:pt>
                <c:pt idx="14">
                  <c:v>14.14</c:v>
                </c:pt>
                <c:pt idx="15">
                  <c:v>15.07</c:v>
                </c:pt>
                <c:pt idx="16">
                  <c:v>14.4</c:v>
                </c:pt>
                <c:pt idx="17">
                  <c:v>15.06</c:v>
                </c:pt>
                <c:pt idx="18">
                  <c:v>15.77</c:v>
                </c:pt>
                <c:pt idx="19">
                  <c:v>15.68</c:v>
                </c:pt>
                <c:pt idx="20">
                  <c:v>17.799999</c:v>
                </c:pt>
                <c:pt idx="21">
                  <c:v>18.73</c:v>
                </c:pt>
                <c:pt idx="22">
                  <c:v>19.209999</c:v>
                </c:pt>
                <c:pt idx="23">
                  <c:v>18.02</c:v>
                </c:pt>
                <c:pt idx="24">
                  <c:v>19.139999</c:v>
                </c:pt>
              </c:numCache>
            </c:numRef>
          </c:xVal>
          <c:yVal>
            <c:numRef>
              <c:f>Foglio13!$C$8:$C$32</c:f>
              <c:numCache>
                <c:formatCode>General</c:formatCode>
                <c:ptCount val="25"/>
                <c:pt idx="0">
                  <c:v>7.8049999999999997</c:v>
                </c:pt>
                <c:pt idx="1">
                  <c:v>7.9550000000000001</c:v>
                </c:pt>
                <c:pt idx="2">
                  <c:v>7.9160000000000004</c:v>
                </c:pt>
                <c:pt idx="3">
                  <c:v>7.5759999999999996</c:v>
                </c:pt>
                <c:pt idx="4">
                  <c:v>7.64</c:v>
                </c:pt>
                <c:pt idx="5">
                  <c:v>7.7930000000000001</c:v>
                </c:pt>
                <c:pt idx="6">
                  <c:v>8.24</c:v>
                </c:pt>
                <c:pt idx="7">
                  <c:v>8.1449999999999996</c:v>
                </c:pt>
                <c:pt idx="8">
                  <c:v>7.891</c:v>
                </c:pt>
                <c:pt idx="9">
                  <c:v>7.1059999999999999</c:v>
                </c:pt>
                <c:pt idx="10">
                  <c:v>6.7039999999999997</c:v>
                </c:pt>
                <c:pt idx="11">
                  <c:v>6.52</c:v>
                </c:pt>
                <c:pt idx="12">
                  <c:v>5.226</c:v>
                </c:pt>
                <c:pt idx="13">
                  <c:v>5.6189999999999998</c:v>
                </c:pt>
                <c:pt idx="14">
                  <c:v>5.4859999999999998</c:v>
                </c:pt>
                <c:pt idx="15">
                  <c:v>5.72</c:v>
                </c:pt>
                <c:pt idx="16">
                  <c:v>5.89</c:v>
                </c:pt>
                <c:pt idx="17">
                  <c:v>5.83</c:v>
                </c:pt>
                <c:pt idx="18">
                  <c:v>5.8890000000000002</c:v>
                </c:pt>
                <c:pt idx="19">
                  <c:v>5.9720000000000004</c:v>
                </c:pt>
                <c:pt idx="20">
                  <c:v>6.3109999999999999</c:v>
                </c:pt>
                <c:pt idx="21">
                  <c:v>6.3</c:v>
                </c:pt>
                <c:pt idx="22">
                  <c:v>6.2789999999999999</c:v>
                </c:pt>
                <c:pt idx="23">
                  <c:v>6.1550000000000002</c:v>
                </c:pt>
                <c:pt idx="24">
                  <c:v>6.3860000000000001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343104"/>
        <c:axId val="1450346368"/>
      </c:scatterChart>
      <c:valAx>
        <c:axId val="1450343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346368"/>
        <c:crosses val="autoZero"/>
        <c:crossBetween val="midCat"/>
      </c:valAx>
      <c:valAx>
        <c:axId val="14503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034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15</xdr:row>
      <xdr:rowOff>158750</xdr:rowOff>
    </xdr:from>
    <xdr:to>
      <xdr:col>8</xdr:col>
      <xdr:colOff>393700</xdr:colOff>
      <xdr:row>32</xdr:row>
      <xdr:rowOff>19050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30</xdr:row>
      <xdr:rowOff>60960</xdr:rowOff>
    </xdr:from>
    <xdr:to>
      <xdr:col>14</xdr:col>
      <xdr:colOff>365760</xdr:colOff>
      <xdr:row>45</xdr:row>
      <xdr:rowOff>60960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9</xdr:row>
      <xdr:rowOff>22860</xdr:rowOff>
    </xdr:from>
    <xdr:to>
      <xdr:col>15</xdr:col>
      <xdr:colOff>358140</xdr:colOff>
      <xdr:row>28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24</xdr:row>
      <xdr:rowOff>160020</xdr:rowOff>
    </xdr:from>
    <xdr:to>
      <xdr:col>15</xdr:col>
      <xdr:colOff>0</xdr:colOff>
      <xdr:row>39</xdr:row>
      <xdr:rowOff>160020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314960</xdr:colOff>
      <xdr:row>22</xdr:row>
      <xdr:rowOff>78740</xdr:rowOff>
    </xdr:from>
    <xdr:to>
      <xdr:col>15</xdr:col>
      <xdr:colOff>579120</xdr:colOff>
      <xdr:row>37</xdr:row>
      <xdr:rowOff>119380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579120</xdr:colOff>
      <xdr:row>14</xdr:row>
      <xdr:rowOff>373380</xdr:rowOff>
    </xdr:from>
    <xdr:to>
      <xdr:col>17</xdr:col>
      <xdr:colOff>274320</xdr:colOff>
      <xdr:row>27</xdr:row>
      <xdr:rowOff>15240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335280</xdr:colOff>
      <xdr:row>13</xdr:row>
      <xdr:rowOff>182880</xdr:rowOff>
    </xdr:from>
    <xdr:to>
      <xdr:col>18</xdr:col>
      <xdr:colOff>30480</xdr:colOff>
      <xdr:row>25</xdr:row>
      <xdr:rowOff>68580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50</xdr:row>
      <xdr:rowOff>99060</xdr:rowOff>
    </xdr:from>
    <xdr:to>
      <xdr:col>8</xdr:col>
      <xdr:colOff>114300</xdr:colOff>
      <xdr:row>65</xdr:row>
      <xdr:rowOff>99060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434340</xdr:colOff>
      <xdr:row>6</xdr:row>
      <xdr:rowOff>175260</xdr:rowOff>
    </xdr:from>
    <xdr:to>
      <xdr:col>20</xdr:col>
      <xdr:colOff>129540</xdr:colOff>
      <xdr:row>21</xdr:row>
      <xdr:rowOff>175260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7" workbookViewId="0">
      <selection activeCell="B62" sqref="B62"/>
    </sheetView>
  </sheetViews>
  <sheetFormatPr defaultRowHeight="14.4" x14ac:dyDescent="0.3"/>
  <cols>
    <col min="2" max="2" width="12.6640625" bestFit="1" customWidth="1"/>
    <col min="8" max="10" width="12.6640625" bestFit="1" customWidth="1"/>
    <col min="14" max="14" width="12.6640625" bestFit="1" customWidth="1"/>
  </cols>
  <sheetData>
    <row r="1" spans="1:5" x14ac:dyDescent="0.3">
      <c r="A1" s="42" t="s">
        <v>131</v>
      </c>
      <c r="B1" s="42"/>
      <c r="C1" s="42"/>
      <c r="D1" s="42"/>
      <c r="E1" s="42"/>
    </row>
    <row r="2" spans="1:5" x14ac:dyDescent="0.3">
      <c r="A2" s="42"/>
      <c r="B2" s="42"/>
      <c r="C2" s="42"/>
      <c r="D2" s="42"/>
      <c r="E2" s="42"/>
    </row>
    <row r="3" spans="1:5" x14ac:dyDescent="0.3">
      <c r="A3" s="42"/>
      <c r="B3" s="42"/>
      <c r="C3" s="42"/>
      <c r="D3" s="42"/>
      <c r="E3" s="42"/>
    </row>
    <row r="4" spans="1:5" ht="15" thickBot="1" x14ac:dyDescent="0.35">
      <c r="A4" s="42" t="s">
        <v>29</v>
      </c>
      <c r="B4" s="42"/>
      <c r="C4" s="42"/>
      <c r="D4" s="42"/>
      <c r="E4" s="42"/>
    </row>
    <row r="5" spans="1:5" ht="16.2" thickBot="1" x14ac:dyDescent="0.35">
      <c r="A5" s="43"/>
      <c r="B5" s="43"/>
      <c r="C5" s="40" t="s">
        <v>0</v>
      </c>
      <c r="D5" s="43"/>
      <c r="E5" s="43"/>
    </row>
    <row r="6" spans="1:5" ht="32.4" thickTop="1" thickBot="1" x14ac:dyDescent="0.35">
      <c r="A6" s="41" t="s">
        <v>1</v>
      </c>
      <c r="B6" s="44" t="s">
        <v>2</v>
      </c>
      <c r="C6" s="45" t="s">
        <v>3</v>
      </c>
      <c r="D6" s="46" t="s">
        <v>4</v>
      </c>
      <c r="E6" s="47" t="s">
        <v>5</v>
      </c>
    </row>
    <row r="7" spans="1:5" ht="16.2" thickBot="1" x14ac:dyDescent="0.35">
      <c r="A7" s="48" t="s">
        <v>2</v>
      </c>
      <c r="B7" s="49">
        <v>18</v>
      </c>
      <c r="C7" s="50">
        <v>20</v>
      </c>
      <c r="D7" s="51">
        <v>2</v>
      </c>
      <c r="E7" s="52">
        <f>SUM(B7:D7)</f>
        <v>40</v>
      </c>
    </row>
    <row r="8" spans="1:5" ht="16.2" thickBot="1" x14ac:dyDescent="0.35">
      <c r="A8" s="53" t="s">
        <v>3</v>
      </c>
      <c r="B8" s="54">
        <v>2</v>
      </c>
      <c r="C8" s="55">
        <v>16</v>
      </c>
      <c r="D8" s="56">
        <v>2</v>
      </c>
      <c r="E8" s="52">
        <f>SUM(B8:D8)</f>
        <v>20</v>
      </c>
    </row>
    <row r="9" spans="1:5" ht="16.2" thickBot="1" x14ac:dyDescent="0.35">
      <c r="A9" s="57" t="s">
        <v>4</v>
      </c>
      <c r="B9" s="58">
        <v>8</v>
      </c>
      <c r="C9" s="59">
        <v>2</v>
      </c>
      <c r="D9" s="60">
        <v>10</v>
      </c>
      <c r="E9" s="52">
        <f>SUM(B9:D9)</f>
        <v>20</v>
      </c>
    </row>
    <row r="10" spans="1:5" ht="16.2" thickBot="1" x14ac:dyDescent="0.35">
      <c r="A10" s="48" t="s">
        <v>5</v>
      </c>
      <c r="B10" s="49">
        <f>SUM(B7:B9)</f>
        <v>28</v>
      </c>
      <c r="C10" s="49">
        <f t="shared" ref="C10:D10" si="0">SUM(C7:C9)</f>
        <v>38</v>
      </c>
      <c r="D10" s="49">
        <f t="shared" si="0"/>
        <v>14</v>
      </c>
      <c r="E10" s="52">
        <f>SUM(B10:D10)</f>
        <v>80</v>
      </c>
    </row>
    <row r="11" spans="1:5" x14ac:dyDescent="0.3">
      <c r="A11" s="42"/>
      <c r="B11" s="42"/>
      <c r="C11" s="42"/>
      <c r="D11" s="42"/>
      <c r="E11" s="42"/>
    </row>
    <row r="12" spans="1:5" x14ac:dyDescent="0.3">
      <c r="A12" s="61" t="s">
        <v>132</v>
      </c>
      <c r="B12" s="42"/>
      <c r="C12" s="42"/>
      <c r="D12" s="42"/>
      <c r="E12" s="42"/>
    </row>
    <row r="13" spans="1:5" x14ac:dyDescent="0.3">
      <c r="A13" s="42" t="s">
        <v>133</v>
      </c>
      <c r="B13" s="42"/>
      <c r="C13" s="42"/>
      <c r="D13" s="42"/>
      <c r="E13" s="42"/>
    </row>
    <row r="14" spans="1:5" x14ac:dyDescent="0.3">
      <c r="A14" s="42" t="s">
        <v>134</v>
      </c>
      <c r="B14" s="42"/>
      <c r="C14" s="42"/>
      <c r="D14" s="42"/>
      <c r="E14" s="42"/>
    </row>
    <row r="15" spans="1:5" x14ac:dyDescent="0.3">
      <c r="A15" s="42" t="s">
        <v>135</v>
      </c>
      <c r="B15" s="42"/>
      <c r="C15" s="42"/>
      <c r="D15" s="42"/>
      <c r="E15" s="42"/>
    </row>
    <row r="19" spans="1:5" x14ac:dyDescent="0.3">
      <c r="A19" t="s">
        <v>32</v>
      </c>
    </row>
    <row r="20" spans="1:5" x14ac:dyDescent="0.3">
      <c r="A20" t="s">
        <v>33</v>
      </c>
    </row>
    <row r="21" spans="1:5" ht="15" thickBot="1" x14ac:dyDescent="0.35"/>
    <row r="22" spans="1:5" ht="16.2" thickBot="1" x14ac:dyDescent="0.35">
      <c r="A22" s="1"/>
      <c r="B22" s="1"/>
      <c r="C22" s="2" t="s">
        <v>0</v>
      </c>
      <c r="D22" s="1"/>
      <c r="E22" s="1"/>
    </row>
    <row r="23" spans="1:5" ht="32.4" thickTop="1" thickBot="1" x14ac:dyDescent="0.35">
      <c r="A23" s="3" t="s">
        <v>1</v>
      </c>
      <c r="B23" s="4" t="s">
        <v>2</v>
      </c>
      <c r="C23" s="5" t="s">
        <v>3</v>
      </c>
      <c r="D23" s="6" t="s">
        <v>4</v>
      </c>
      <c r="E23" s="7" t="s">
        <v>5</v>
      </c>
    </row>
    <row r="24" spans="1:5" ht="16.2" thickBot="1" x14ac:dyDescent="0.35">
      <c r="A24" s="8" t="s">
        <v>2</v>
      </c>
      <c r="B24" s="9">
        <f>B7/$E7</f>
        <v>0.45</v>
      </c>
      <c r="C24" s="9">
        <f t="shared" ref="C24:D24" si="1">C7/$E7</f>
        <v>0.5</v>
      </c>
      <c r="D24" s="9">
        <f t="shared" si="1"/>
        <v>0.05</v>
      </c>
      <c r="E24" s="10">
        <f>SUM(B24:D24)</f>
        <v>1</v>
      </c>
    </row>
    <row r="25" spans="1:5" ht="16.2" thickBot="1" x14ac:dyDescent="0.35">
      <c r="A25" s="11" t="s">
        <v>3</v>
      </c>
      <c r="B25" s="9">
        <f t="shared" ref="B25:D25" si="2">B8/$E8</f>
        <v>0.1</v>
      </c>
      <c r="C25" s="9">
        <f t="shared" si="2"/>
        <v>0.8</v>
      </c>
      <c r="D25" s="9">
        <f t="shared" si="2"/>
        <v>0.1</v>
      </c>
      <c r="E25" s="10">
        <f t="shared" ref="E25:E27" si="3">SUM(B25:D25)</f>
        <v>1</v>
      </c>
    </row>
    <row r="26" spans="1:5" ht="16.2" thickBot="1" x14ac:dyDescent="0.35">
      <c r="A26" s="12" t="s">
        <v>4</v>
      </c>
      <c r="B26" s="9">
        <f t="shared" ref="B26:D26" si="4">B9/$E9</f>
        <v>0.4</v>
      </c>
      <c r="C26" s="9">
        <f t="shared" si="4"/>
        <v>0.1</v>
      </c>
      <c r="D26" s="9">
        <f t="shared" si="4"/>
        <v>0.5</v>
      </c>
      <c r="E26" s="10">
        <f t="shared" si="3"/>
        <v>1</v>
      </c>
    </row>
    <row r="27" spans="1:5" ht="16.2" thickBot="1" x14ac:dyDescent="0.35">
      <c r="A27" s="8" t="s">
        <v>5</v>
      </c>
      <c r="B27" s="9">
        <f t="shared" ref="B27:D27" si="5">B10/$E10</f>
        <v>0.35</v>
      </c>
      <c r="C27" s="9">
        <f t="shared" si="5"/>
        <v>0.47499999999999998</v>
      </c>
      <c r="D27" s="9">
        <f t="shared" si="5"/>
        <v>0.17499999999999999</v>
      </c>
      <c r="E27" s="10">
        <f t="shared" si="3"/>
        <v>1</v>
      </c>
    </row>
    <row r="30" spans="1:5" ht="15.6" x14ac:dyDescent="0.3">
      <c r="A30" s="33" t="s">
        <v>34</v>
      </c>
    </row>
    <row r="31" spans="1:5" ht="15.6" x14ac:dyDescent="0.3">
      <c r="A31" s="34" t="s">
        <v>35</v>
      </c>
    </row>
    <row r="33" spans="1:11" x14ac:dyDescent="0.3">
      <c r="A33" t="s">
        <v>36</v>
      </c>
    </row>
    <row r="35" spans="1:11" ht="15" thickBot="1" x14ac:dyDescent="0.35">
      <c r="A35" t="s">
        <v>30</v>
      </c>
      <c r="G35" t="s">
        <v>31</v>
      </c>
    </row>
    <row r="36" spans="1:11" ht="16.2" thickBot="1" x14ac:dyDescent="0.35">
      <c r="A36" s="1"/>
      <c r="B36" s="1"/>
      <c r="C36" s="2" t="s">
        <v>0</v>
      </c>
      <c r="D36" s="1"/>
      <c r="E36" s="1"/>
      <c r="G36" s="1"/>
      <c r="H36" s="1"/>
      <c r="I36" s="2" t="s">
        <v>0</v>
      </c>
      <c r="J36" s="1"/>
      <c r="K36" s="1"/>
    </row>
    <row r="37" spans="1:11" ht="32.4" thickTop="1" thickBot="1" x14ac:dyDescent="0.35">
      <c r="A37" s="3" t="s">
        <v>1</v>
      </c>
      <c r="B37" s="4" t="s">
        <v>2</v>
      </c>
      <c r="C37" s="5" t="s">
        <v>3</v>
      </c>
      <c r="D37" s="6" t="s">
        <v>4</v>
      </c>
      <c r="E37" s="7" t="s">
        <v>5</v>
      </c>
      <c r="G37" s="3" t="s">
        <v>1</v>
      </c>
      <c r="H37" s="4" t="s">
        <v>2</v>
      </c>
      <c r="I37" s="5" t="s">
        <v>3</v>
      </c>
      <c r="J37" s="6" t="s">
        <v>4</v>
      </c>
      <c r="K37" s="7" t="s">
        <v>5</v>
      </c>
    </row>
    <row r="38" spans="1:11" ht="16.2" thickBot="1" x14ac:dyDescent="0.35">
      <c r="A38" s="8" t="s">
        <v>2</v>
      </c>
      <c r="B38" s="9">
        <f t="shared" ref="B38:D40" si="6">$E7*B$10/$E$10</f>
        <v>14</v>
      </c>
      <c r="C38" s="9">
        <f t="shared" si="6"/>
        <v>19</v>
      </c>
      <c r="D38" s="9">
        <f t="shared" si="6"/>
        <v>7</v>
      </c>
      <c r="E38" s="10">
        <f>SUM(B38:D38)</f>
        <v>40</v>
      </c>
      <c r="G38" s="8" t="s">
        <v>2</v>
      </c>
      <c r="H38" s="9">
        <f t="shared" ref="H38:J40" si="7">(B7-B38)^2/B38</f>
        <v>1.1428571428571428</v>
      </c>
      <c r="I38" s="9">
        <f t="shared" si="7"/>
        <v>5.2631578947368418E-2</v>
      </c>
      <c r="J38" s="9">
        <f t="shared" si="7"/>
        <v>3.5714285714285716</v>
      </c>
      <c r="K38" s="10">
        <f>SUM(H38:J38)</f>
        <v>4.7669172932330826</v>
      </c>
    </row>
    <row r="39" spans="1:11" ht="16.2" thickBot="1" x14ac:dyDescent="0.35">
      <c r="A39" s="11" t="s">
        <v>3</v>
      </c>
      <c r="B39" s="9">
        <f t="shared" si="6"/>
        <v>7</v>
      </c>
      <c r="C39" s="9">
        <f t="shared" si="6"/>
        <v>9.5</v>
      </c>
      <c r="D39" s="9">
        <f t="shared" si="6"/>
        <v>3.5</v>
      </c>
      <c r="E39" s="10">
        <f t="shared" ref="E39:E41" si="8">SUM(B39:D39)</f>
        <v>20</v>
      </c>
      <c r="G39" s="11" t="s">
        <v>3</v>
      </c>
      <c r="H39" s="9">
        <f t="shared" si="7"/>
        <v>3.5714285714285716</v>
      </c>
      <c r="I39" s="9">
        <f t="shared" si="7"/>
        <v>4.4473684210526319</v>
      </c>
      <c r="J39" s="9">
        <f t="shared" si="7"/>
        <v>0.6428571428571429</v>
      </c>
      <c r="K39" s="10">
        <f t="shared" ref="K39:K41" si="9">SUM(H39:J39)</f>
        <v>8.6616541353383454</v>
      </c>
    </row>
    <row r="40" spans="1:11" ht="16.2" thickBot="1" x14ac:dyDescent="0.35">
      <c r="A40" s="12" t="s">
        <v>4</v>
      </c>
      <c r="B40" s="9">
        <f t="shared" si="6"/>
        <v>7</v>
      </c>
      <c r="C40" s="9">
        <f t="shared" si="6"/>
        <v>9.5</v>
      </c>
      <c r="D40" s="9">
        <f t="shared" si="6"/>
        <v>3.5</v>
      </c>
      <c r="E40" s="10">
        <f t="shared" si="8"/>
        <v>20</v>
      </c>
      <c r="G40" s="12" t="s">
        <v>4</v>
      </c>
      <c r="H40" s="9">
        <f t="shared" si="7"/>
        <v>0.14285714285714285</v>
      </c>
      <c r="I40" s="9">
        <f t="shared" si="7"/>
        <v>5.9210526315789478</v>
      </c>
      <c r="J40" s="9">
        <f t="shared" si="7"/>
        <v>12.071428571428571</v>
      </c>
      <c r="K40" s="10">
        <f t="shared" si="9"/>
        <v>18.13533834586466</v>
      </c>
    </row>
    <row r="41" spans="1:11" ht="16.2" thickBot="1" x14ac:dyDescent="0.35">
      <c r="A41" s="8" t="s">
        <v>5</v>
      </c>
      <c r="B41" s="9">
        <f>SUM(B38:B40)</f>
        <v>28</v>
      </c>
      <c r="C41" s="9">
        <f t="shared" ref="C41:D41" si="10">SUM(C38:C40)</f>
        <v>38</v>
      </c>
      <c r="D41" s="9">
        <f t="shared" si="10"/>
        <v>14</v>
      </c>
      <c r="E41" s="10">
        <f t="shared" si="8"/>
        <v>80</v>
      </c>
      <c r="G41" s="8" t="s">
        <v>5</v>
      </c>
      <c r="H41" s="9">
        <f>SUM(H38:H40)</f>
        <v>4.8571428571428577</v>
      </c>
      <c r="I41" s="9">
        <f t="shared" ref="I41" si="11">SUM(I38:I40)</f>
        <v>10.421052631578949</v>
      </c>
      <c r="J41" s="9">
        <f t="shared" ref="J41" si="12">SUM(J38:J40)</f>
        <v>16.285714285714285</v>
      </c>
      <c r="K41" s="10">
        <f t="shared" si="9"/>
        <v>31.563909774436091</v>
      </c>
    </row>
    <row r="43" spans="1:11" ht="15.6" x14ac:dyDescent="0.3">
      <c r="A43" s="34" t="s">
        <v>37</v>
      </c>
      <c r="C43">
        <f>K41</f>
        <v>31.563909774436091</v>
      </c>
    </row>
    <row r="45" spans="1:11" x14ac:dyDescent="0.3">
      <c r="A45" t="s">
        <v>38</v>
      </c>
      <c r="C45">
        <f>SQRT(C43/E41/2)</f>
        <v>0.44415586913855543</v>
      </c>
      <c r="E45" t="s">
        <v>130</v>
      </c>
    </row>
    <row r="48" spans="1:11" x14ac:dyDescent="0.3">
      <c r="A48" t="s">
        <v>39</v>
      </c>
    </row>
    <row r="49" spans="1:5" x14ac:dyDescent="0.3">
      <c r="A49" t="s">
        <v>40</v>
      </c>
    </row>
    <row r="50" spans="1:5" ht="15" thickBot="1" x14ac:dyDescent="0.35"/>
    <row r="51" spans="1:5" ht="16.2" thickBot="1" x14ac:dyDescent="0.35">
      <c r="A51" s="1"/>
      <c r="B51" s="1"/>
      <c r="C51" s="2" t="s">
        <v>0</v>
      </c>
      <c r="D51" s="1"/>
      <c r="E51" s="1"/>
    </row>
    <row r="52" spans="1:5" ht="32.4" thickTop="1" thickBot="1" x14ac:dyDescent="0.35">
      <c r="A52" s="3" t="s">
        <v>1</v>
      </c>
      <c r="B52" s="4" t="s">
        <v>2</v>
      </c>
      <c r="C52" s="5" t="s">
        <v>3</v>
      </c>
      <c r="D52" s="6" t="s">
        <v>4</v>
      </c>
      <c r="E52" s="7" t="s">
        <v>5</v>
      </c>
    </row>
    <row r="53" spans="1:5" ht="16.2" thickBot="1" x14ac:dyDescent="0.35">
      <c r="A53" s="8" t="s">
        <v>2</v>
      </c>
      <c r="B53" s="9">
        <v>21</v>
      </c>
      <c r="C53" s="9">
        <v>0</v>
      </c>
      <c r="D53" s="9">
        <v>0</v>
      </c>
      <c r="E53" s="10">
        <f>SUM(B53:D53)</f>
        <v>21</v>
      </c>
    </row>
    <row r="54" spans="1:5" ht="16.2" thickBot="1" x14ac:dyDescent="0.35">
      <c r="A54" s="11" t="s">
        <v>3</v>
      </c>
      <c r="B54" s="9">
        <v>0</v>
      </c>
      <c r="C54" s="9">
        <v>13</v>
      </c>
      <c r="D54" s="9">
        <v>0</v>
      </c>
      <c r="E54" s="10">
        <f t="shared" ref="E54:E56" si="13">SUM(B54:D54)</f>
        <v>13</v>
      </c>
    </row>
    <row r="55" spans="1:5" ht="16.2" thickBot="1" x14ac:dyDescent="0.35">
      <c r="A55" s="12" t="s">
        <v>4</v>
      </c>
      <c r="B55" s="9">
        <v>0</v>
      </c>
      <c r="C55" s="9">
        <v>0</v>
      </c>
      <c r="D55" s="9">
        <v>16</v>
      </c>
      <c r="E55" s="10">
        <f t="shared" si="13"/>
        <v>16</v>
      </c>
    </row>
    <row r="56" spans="1:5" ht="16.2" thickBot="1" x14ac:dyDescent="0.35">
      <c r="A56" s="8" t="s">
        <v>5</v>
      </c>
      <c r="B56" s="9">
        <f>SUM(B53:B55)</f>
        <v>21</v>
      </c>
      <c r="C56" s="9">
        <f t="shared" ref="C56" si="14">SUM(C53:C55)</f>
        <v>13</v>
      </c>
      <c r="D56" s="9">
        <f t="shared" ref="D56" si="15">SUM(D53:D55)</f>
        <v>16</v>
      </c>
      <c r="E56" s="10">
        <f t="shared" si="13"/>
        <v>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A11" sqref="A1:C11"/>
    </sheetView>
  </sheetViews>
  <sheetFormatPr defaultRowHeight="14.4" x14ac:dyDescent="0.3"/>
  <sheetData>
    <row r="1" spans="1:14" x14ac:dyDescent="0.3">
      <c r="A1" s="42" t="s">
        <v>174</v>
      </c>
      <c r="B1" s="42"/>
      <c r="C1" s="42"/>
    </row>
    <row r="2" spans="1:14" ht="15" thickBot="1" x14ac:dyDescent="0.35">
      <c r="A2" s="42"/>
      <c r="B2" s="42"/>
      <c r="C2" s="42"/>
    </row>
    <row r="3" spans="1:14" ht="63" thickBot="1" x14ac:dyDescent="0.35">
      <c r="A3" s="77" t="s">
        <v>17</v>
      </c>
      <c r="B3" s="78" t="s">
        <v>18</v>
      </c>
      <c r="C3" s="79" t="s">
        <v>19</v>
      </c>
    </row>
    <row r="4" spans="1:14" ht="16.2" thickBot="1" x14ac:dyDescent="0.35">
      <c r="A4" s="80">
        <v>1</v>
      </c>
      <c r="B4" s="81">
        <v>22</v>
      </c>
      <c r="C4" s="82">
        <v>22</v>
      </c>
    </row>
    <row r="5" spans="1:14" ht="16.2" thickBot="1" x14ac:dyDescent="0.35">
      <c r="A5" s="83" t="s">
        <v>20</v>
      </c>
      <c r="B5" s="84">
        <v>18</v>
      </c>
      <c r="C5" s="85">
        <v>56</v>
      </c>
    </row>
    <row r="6" spans="1:14" ht="16.2" thickBot="1" x14ac:dyDescent="0.35">
      <c r="A6" s="83" t="s">
        <v>21</v>
      </c>
      <c r="B6" s="84">
        <v>10</v>
      </c>
      <c r="C6" s="85">
        <v>75</v>
      </c>
    </row>
    <row r="7" spans="1:14" x14ac:dyDescent="0.3">
      <c r="A7" s="42"/>
      <c r="B7" s="42"/>
      <c r="C7" s="42"/>
    </row>
    <row r="8" spans="1:14" x14ac:dyDescent="0.3">
      <c r="A8" s="42" t="s">
        <v>173</v>
      </c>
      <c r="B8" s="42"/>
      <c r="C8" s="42"/>
    </row>
    <row r="9" spans="1:14" x14ac:dyDescent="0.3">
      <c r="A9" s="42" t="s">
        <v>175</v>
      </c>
      <c r="B9" s="42"/>
      <c r="C9" s="42"/>
    </row>
    <row r="10" spans="1:14" x14ac:dyDescent="0.3">
      <c r="A10" s="42" t="s">
        <v>176</v>
      </c>
      <c r="B10" s="42"/>
      <c r="C10" s="42"/>
    </row>
    <row r="11" spans="1:14" x14ac:dyDescent="0.3">
      <c r="A11" s="42" t="s">
        <v>177</v>
      </c>
      <c r="B11" s="42"/>
      <c r="C11" s="42"/>
    </row>
    <row r="13" spans="1:14" ht="15" thickBot="1" x14ac:dyDescent="0.35"/>
    <row r="14" spans="1:14" ht="46.2" thickBot="1" x14ac:dyDescent="0.35">
      <c r="A14" s="19" t="s">
        <v>17</v>
      </c>
      <c r="B14" s="20" t="s">
        <v>18</v>
      </c>
      <c r="C14" s="21" t="s">
        <v>19</v>
      </c>
      <c r="D14" s="39" t="s">
        <v>107</v>
      </c>
      <c r="E14" s="39" t="s">
        <v>111</v>
      </c>
      <c r="F14" s="39" t="s">
        <v>120</v>
      </c>
      <c r="G14" s="39" t="s">
        <v>112</v>
      </c>
      <c r="H14" s="39" t="s">
        <v>115</v>
      </c>
      <c r="I14" s="39" t="s">
        <v>116</v>
      </c>
      <c r="M14">
        <v>0.5</v>
      </c>
      <c r="N14">
        <v>0</v>
      </c>
    </row>
    <row r="15" spans="1:14" ht="16.2" thickBot="1" x14ac:dyDescent="0.35">
      <c r="A15" s="22">
        <v>1</v>
      </c>
      <c r="B15" s="23">
        <v>22</v>
      </c>
      <c r="C15" s="24">
        <v>22</v>
      </c>
      <c r="D15" s="39">
        <v>1</v>
      </c>
      <c r="E15">
        <f>B15/B$18</f>
        <v>0.44</v>
      </c>
      <c r="F15">
        <f>E15/D15</f>
        <v>0.44</v>
      </c>
      <c r="G15">
        <f>E15</f>
        <v>0.44</v>
      </c>
      <c r="H15">
        <f>1</f>
        <v>1</v>
      </c>
      <c r="I15">
        <f>H15*B15</f>
        <v>22</v>
      </c>
      <c r="M15">
        <v>0.5</v>
      </c>
      <c r="N15">
        <f>F15</f>
        <v>0.44</v>
      </c>
    </row>
    <row r="16" spans="1:14" ht="16.2" thickBot="1" x14ac:dyDescent="0.35">
      <c r="A16" s="27" t="s">
        <v>20</v>
      </c>
      <c r="B16" s="25">
        <v>18</v>
      </c>
      <c r="C16" s="26">
        <v>56</v>
      </c>
      <c r="D16">
        <f>5.5-1.5</f>
        <v>4</v>
      </c>
      <c r="E16">
        <f t="shared" ref="E16:E17" si="0">B16/B$18</f>
        <v>0.36</v>
      </c>
      <c r="F16">
        <f t="shared" ref="F16:F17" si="1">E16/D16</f>
        <v>0.09</v>
      </c>
      <c r="G16">
        <f>G15+E16</f>
        <v>0.8</v>
      </c>
      <c r="H16">
        <v>3.5</v>
      </c>
      <c r="I16">
        <f t="shared" ref="I16:I17" si="2">H16*B16</f>
        <v>63</v>
      </c>
      <c r="M16">
        <v>1.5</v>
      </c>
      <c r="N16">
        <f>N15</f>
        <v>0.44</v>
      </c>
    </row>
    <row r="17" spans="1:14" ht="16.2" thickBot="1" x14ac:dyDescent="0.35">
      <c r="A17" s="27" t="s">
        <v>21</v>
      </c>
      <c r="B17" s="25">
        <v>10</v>
      </c>
      <c r="C17" s="26">
        <v>75</v>
      </c>
      <c r="D17">
        <f>10.5-5.5</f>
        <v>5</v>
      </c>
      <c r="E17">
        <f t="shared" si="0"/>
        <v>0.2</v>
      </c>
      <c r="F17">
        <f t="shared" si="1"/>
        <v>0.04</v>
      </c>
      <c r="G17">
        <f>G16+E17</f>
        <v>1</v>
      </c>
      <c r="H17">
        <v>8</v>
      </c>
      <c r="I17">
        <f t="shared" si="2"/>
        <v>80</v>
      </c>
      <c r="M17">
        <v>1.5</v>
      </c>
      <c r="N17">
        <v>0</v>
      </c>
    </row>
    <row r="18" spans="1:14" x14ac:dyDescent="0.3">
      <c r="B18">
        <f>SUM(B15:B17)</f>
        <v>50</v>
      </c>
      <c r="C18">
        <f>SUM(C15:C17)</f>
        <v>153</v>
      </c>
      <c r="E18">
        <f>SUM(E15:E17)</f>
        <v>1</v>
      </c>
      <c r="I18">
        <f>SUM(I15:I17)</f>
        <v>165</v>
      </c>
      <c r="M18">
        <v>1.5</v>
      </c>
      <c r="N18">
        <f>F16</f>
        <v>0.09</v>
      </c>
    </row>
    <row r="19" spans="1:14" x14ac:dyDescent="0.3">
      <c r="M19">
        <v>5.5</v>
      </c>
      <c r="N19">
        <f>N18</f>
        <v>0.09</v>
      </c>
    </row>
    <row r="20" spans="1:14" x14ac:dyDescent="0.3">
      <c r="A20" t="s">
        <v>32</v>
      </c>
      <c r="M20">
        <v>5.5</v>
      </c>
      <c r="N20">
        <v>0</v>
      </c>
    </row>
    <row r="21" spans="1:14" x14ac:dyDescent="0.3">
      <c r="A21" t="s">
        <v>121</v>
      </c>
      <c r="M21">
        <v>5.5</v>
      </c>
      <c r="N21">
        <f>F17</f>
        <v>0.04</v>
      </c>
    </row>
    <row r="22" spans="1:14" x14ac:dyDescent="0.3">
      <c r="M22">
        <v>10.5</v>
      </c>
      <c r="N22">
        <f>N21</f>
        <v>0.04</v>
      </c>
    </row>
    <row r="23" spans="1:14" x14ac:dyDescent="0.3">
      <c r="A23" t="s">
        <v>34</v>
      </c>
      <c r="M23">
        <v>10.5</v>
      </c>
      <c r="N23">
        <v>0</v>
      </c>
    </row>
    <row r="24" spans="1:14" x14ac:dyDescent="0.3">
      <c r="A24" t="s">
        <v>122</v>
      </c>
      <c r="C24">
        <f>1.5+(0.5-G15)/E16*D16</f>
        <v>2.1666666666666665</v>
      </c>
    </row>
    <row r="25" spans="1:14" x14ac:dyDescent="0.3">
      <c r="A25" t="s">
        <v>123</v>
      </c>
      <c r="C25">
        <f>0.5+(0.25-0)/E15*D15</f>
        <v>1.0681818181818183</v>
      </c>
    </row>
    <row r="26" spans="1:14" x14ac:dyDescent="0.3">
      <c r="A26" t="s">
        <v>124</v>
      </c>
      <c r="C26">
        <f>1.5+(0.75-G15)/E16*D16</f>
        <v>4.9444444444444446</v>
      </c>
    </row>
    <row r="28" spans="1:14" x14ac:dyDescent="0.3">
      <c r="A28" t="s">
        <v>36</v>
      </c>
    </row>
    <row r="29" spans="1:14" x14ac:dyDescent="0.3">
      <c r="A29" t="s">
        <v>125</v>
      </c>
      <c r="H29">
        <f>I18/B18</f>
        <v>3.3</v>
      </c>
    </row>
    <row r="30" spans="1:14" x14ac:dyDescent="0.3">
      <c r="A30" t="s">
        <v>126</v>
      </c>
      <c r="H30">
        <f>C18/B18</f>
        <v>3.06</v>
      </c>
    </row>
    <row r="32" spans="1:14" x14ac:dyDescent="0.3">
      <c r="A32" t="s">
        <v>127</v>
      </c>
    </row>
    <row r="34" spans="1:1" x14ac:dyDescent="0.3">
      <c r="A34" t="s">
        <v>57</v>
      </c>
    </row>
    <row r="35" spans="1:1" x14ac:dyDescent="0.3">
      <c r="A35" t="s">
        <v>128</v>
      </c>
    </row>
    <row r="36" spans="1:1" x14ac:dyDescent="0.3">
      <c r="A36" t="s">
        <v>129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sqref="A1:XFD14"/>
    </sheetView>
  </sheetViews>
  <sheetFormatPr defaultRowHeight="14.4" x14ac:dyDescent="0.3"/>
  <sheetData>
    <row r="1" spans="1:8" x14ac:dyDescent="0.3">
      <c r="A1" s="42" t="s">
        <v>236</v>
      </c>
      <c r="B1" s="42"/>
      <c r="C1" s="42"/>
      <c r="D1" s="42"/>
      <c r="E1" s="42"/>
      <c r="F1" s="42"/>
      <c r="G1" s="42"/>
      <c r="H1" s="42"/>
    </row>
    <row r="2" spans="1:8" x14ac:dyDescent="0.3">
      <c r="A2" s="42"/>
      <c r="B2" s="42"/>
      <c r="C2" s="42"/>
      <c r="D2" s="42"/>
      <c r="E2" s="42" t="s">
        <v>237</v>
      </c>
      <c r="F2" s="42"/>
      <c r="G2" s="42"/>
      <c r="H2" s="42"/>
    </row>
    <row r="3" spans="1:8" x14ac:dyDescent="0.3">
      <c r="A3" s="42"/>
      <c r="B3" s="42" t="s">
        <v>238</v>
      </c>
      <c r="C3" s="42" t="s">
        <v>222</v>
      </c>
      <c r="D3" s="42" t="s">
        <v>221</v>
      </c>
      <c r="E3" s="42" t="s">
        <v>239</v>
      </c>
      <c r="F3" s="42" t="s">
        <v>240</v>
      </c>
      <c r="G3" s="42" t="s">
        <v>241</v>
      </c>
      <c r="H3" s="42" t="s">
        <v>5</v>
      </c>
    </row>
    <row r="4" spans="1:8" x14ac:dyDescent="0.3">
      <c r="A4" s="42"/>
      <c r="B4" s="42" t="s">
        <v>222</v>
      </c>
      <c r="C4" s="42">
        <v>236</v>
      </c>
      <c r="D4" s="42">
        <v>327</v>
      </c>
      <c r="E4" s="42">
        <v>119</v>
      </c>
      <c r="F4" s="42">
        <v>48</v>
      </c>
      <c r="G4" s="42">
        <v>2</v>
      </c>
      <c r="H4" s="42">
        <f>SUM(C4:G4)</f>
        <v>732</v>
      </c>
    </row>
    <row r="5" spans="1:8" x14ac:dyDescent="0.3">
      <c r="A5" s="42"/>
      <c r="B5" s="42" t="s">
        <v>221</v>
      </c>
      <c r="C5" s="42">
        <v>134</v>
      </c>
      <c r="D5" s="42">
        <v>1038</v>
      </c>
      <c r="E5" s="42">
        <v>701</v>
      </c>
      <c r="F5" s="42">
        <v>430</v>
      </c>
      <c r="G5" s="42">
        <v>20</v>
      </c>
      <c r="H5" s="42">
        <f t="shared" ref="H5:H8" si="0">SUM(C5:G5)</f>
        <v>2323</v>
      </c>
    </row>
    <row r="6" spans="1:8" x14ac:dyDescent="0.3">
      <c r="A6" s="42"/>
      <c r="B6" s="42" t="s">
        <v>239</v>
      </c>
      <c r="C6" s="42">
        <v>30</v>
      </c>
      <c r="D6" s="42">
        <v>492</v>
      </c>
      <c r="E6" s="42">
        <v>1199</v>
      </c>
      <c r="F6" s="42">
        <v>1222</v>
      </c>
      <c r="G6" s="42">
        <v>110</v>
      </c>
      <c r="H6" s="42">
        <f t="shared" si="0"/>
        <v>3053</v>
      </c>
    </row>
    <row r="7" spans="1:8" x14ac:dyDescent="0.3">
      <c r="A7" s="42"/>
      <c r="B7" s="42" t="s">
        <v>240</v>
      </c>
      <c r="C7" s="42">
        <v>9</v>
      </c>
      <c r="D7" s="42">
        <v>218</v>
      </c>
      <c r="E7" s="42">
        <v>666</v>
      </c>
      <c r="F7" s="42">
        <v>4523</v>
      </c>
      <c r="G7" s="42">
        <v>951</v>
      </c>
      <c r="H7" s="42">
        <f t="shared" si="0"/>
        <v>6367</v>
      </c>
    </row>
    <row r="8" spans="1:8" x14ac:dyDescent="0.3">
      <c r="A8" s="42"/>
      <c r="B8" s="42" t="s">
        <v>241</v>
      </c>
      <c r="C8" s="42">
        <v>3</v>
      </c>
      <c r="D8" s="42">
        <v>20</v>
      </c>
      <c r="E8" s="42">
        <v>33</v>
      </c>
      <c r="F8" s="42">
        <v>405</v>
      </c>
      <c r="G8" s="42">
        <v>1195</v>
      </c>
      <c r="H8" s="42">
        <f t="shared" si="0"/>
        <v>1656</v>
      </c>
    </row>
    <row r="9" spans="1:8" x14ac:dyDescent="0.3">
      <c r="A9" s="42"/>
      <c r="B9" s="42" t="s">
        <v>5</v>
      </c>
      <c r="C9" s="42">
        <f>SUM(C4:C8)</f>
        <v>412</v>
      </c>
      <c r="D9" s="42">
        <f>SUM(D4:D8)</f>
        <v>2095</v>
      </c>
      <c r="E9" s="42">
        <f t="shared" ref="E9:H9" si="1">SUM(E4:E8)</f>
        <v>2718</v>
      </c>
      <c r="F9" s="42">
        <f t="shared" si="1"/>
        <v>6628</v>
      </c>
      <c r="G9" s="42">
        <f t="shared" si="1"/>
        <v>2278</v>
      </c>
      <c r="H9" s="42">
        <f t="shared" si="1"/>
        <v>14131</v>
      </c>
    </row>
    <row r="10" spans="1:8" x14ac:dyDescent="0.3">
      <c r="A10" s="42"/>
      <c r="B10" s="42"/>
      <c r="C10" s="42"/>
      <c r="D10" s="42"/>
      <c r="E10" s="42"/>
      <c r="F10" s="42"/>
      <c r="G10" s="42"/>
      <c r="H10" s="42"/>
    </row>
    <row r="11" spans="1:8" x14ac:dyDescent="0.3">
      <c r="A11" s="42" t="s">
        <v>242</v>
      </c>
      <c r="B11" s="42"/>
      <c r="C11" s="42"/>
      <c r="D11" s="42"/>
      <c r="E11" s="42"/>
      <c r="F11" s="42"/>
      <c r="G11" s="42"/>
      <c r="H11" s="42"/>
    </row>
    <row r="12" spans="1:8" x14ac:dyDescent="0.3">
      <c r="A12" s="42" t="s">
        <v>243</v>
      </c>
      <c r="B12" s="42"/>
      <c r="C12" s="42"/>
      <c r="D12" s="42"/>
      <c r="E12" s="42"/>
      <c r="F12" s="42"/>
      <c r="G12" s="42"/>
      <c r="H12" s="42"/>
    </row>
    <row r="13" spans="1:8" x14ac:dyDescent="0.3">
      <c r="A13" s="42" t="s">
        <v>244</v>
      </c>
      <c r="B13" s="42"/>
      <c r="C13" s="42"/>
      <c r="D13" s="42"/>
      <c r="E13" s="42"/>
      <c r="F13" s="42"/>
      <c r="G13" s="42"/>
      <c r="H13" s="42"/>
    </row>
    <row r="14" spans="1:8" x14ac:dyDescent="0.3">
      <c r="A14" s="42" t="s">
        <v>245</v>
      </c>
      <c r="B14" s="42"/>
      <c r="C14" s="42"/>
      <c r="D14" s="42"/>
      <c r="E14" s="42"/>
      <c r="F14" s="42"/>
      <c r="G14" s="42"/>
      <c r="H14" s="42"/>
    </row>
    <row r="16" spans="1:8" x14ac:dyDescent="0.3">
      <c r="A16" s="131" t="s">
        <v>267</v>
      </c>
    </row>
    <row r="17" spans="1:8" x14ac:dyDescent="0.3">
      <c r="E17" t="s">
        <v>237</v>
      </c>
    </row>
    <row r="18" spans="1:8" x14ac:dyDescent="0.3">
      <c r="B18" t="s">
        <v>238</v>
      </c>
      <c r="C18" t="s">
        <v>222</v>
      </c>
      <c r="D18" t="s">
        <v>221</v>
      </c>
      <c r="E18" t="s">
        <v>239</v>
      </c>
      <c r="F18" t="s">
        <v>240</v>
      </c>
      <c r="G18" t="s">
        <v>241</v>
      </c>
      <c r="H18" t="s">
        <v>5</v>
      </c>
    </row>
    <row r="19" spans="1:8" x14ac:dyDescent="0.3">
      <c r="B19" t="s">
        <v>222</v>
      </c>
      <c r="C19">
        <f>C4/$H4</f>
        <v>0.32240437158469948</v>
      </c>
      <c r="D19">
        <f t="shared" ref="D19:G19" si="2">D4/$H4</f>
        <v>0.44672131147540983</v>
      </c>
      <c r="E19">
        <f t="shared" si="2"/>
        <v>0.16256830601092895</v>
      </c>
      <c r="F19">
        <f t="shared" si="2"/>
        <v>6.5573770491803282E-2</v>
      </c>
      <c r="G19">
        <f t="shared" si="2"/>
        <v>2.7322404371584699E-3</v>
      </c>
      <c r="H19">
        <f>SUM(C19:G19)</f>
        <v>1</v>
      </c>
    </row>
    <row r="20" spans="1:8" x14ac:dyDescent="0.3">
      <c r="B20" t="s">
        <v>221</v>
      </c>
      <c r="C20">
        <f t="shared" ref="C20:G20" si="3">C5/$H5</f>
        <v>5.7684029272492464E-2</v>
      </c>
      <c r="D20">
        <f t="shared" si="3"/>
        <v>0.44683598794662077</v>
      </c>
      <c r="E20">
        <f t="shared" si="3"/>
        <v>0.3017649591046061</v>
      </c>
      <c r="F20">
        <f t="shared" si="3"/>
        <v>0.18510546706844597</v>
      </c>
      <c r="G20">
        <f t="shared" si="3"/>
        <v>8.6095566078346966E-3</v>
      </c>
      <c r="H20">
        <f t="shared" ref="H20:H24" si="4">SUM(C20:G20)</f>
        <v>1</v>
      </c>
    </row>
    <row r="21" spans="1:8" x14ac:dyDescent="0.3">
      <c r="B21" t="s">
        <v>239</v>
      </c>
      <c r="C21">
        <f t="shared" ref="C21:G21" si="5">C6/$H6</f>
        <v>9.8264002620373405E-3</v>
      </c>
      <c r="D21">
        <f t="shared" si="5"/>
        <v>0.16115296429741238</v>
      </c>
      <c r="E21">
        <f t="shared" si="5"/>
        <v>0.39272846380609239</v>
      </c>
      <c r="F21">
        <f t="shared" si="5"/>
        <v>0.40026203734032101</v>
      </c>
      <c r="G21">
        <f t="shared" si="5"/>
        <v>3.6030134294136915E-2</v>
      </c>
      <c r="H21">
        <f t="shared" si="4"/>
        <v>1</v>
      </c>
    </row>
    <row r="22" spans="1:8" x14ac:dyDescent="0.3">
      <c r="B22" t="s">
        <v>240</v>
      </c>
      <c r="C22">
        <f t="shared" ref="C22:G22" si="6">C7/$H7</f>
        <v>1.4135385581906705E-3</v>
      </c>
      <c r="D22">
        <f t="shared" si="6"/>
        <v>3.4239045076174021E-2</v>
      </c>
      <c r="E22">
        <f t="shared" si="6"/>
        <v>0.10460185330610963</v>
      </c>
      <c r="F22">
        <f t="shared" si="6"/>
        <v>0.71038165541071152</v>
      </c>
      <c r="G22">
        <f t="shared" si="6"/>
        <v>0.14936390764881419</v>
      </c>
      <c r="H22">
        <f t="shared" si="4"/>
        <v>1</v>
      </c>
    </row>
    <row r="23" spans="1:8" x14ac:dyDescent="0.3">
      <c r="B23" t="s">
        <v>241</v>
      </c>
      <c r="C23">
        <f t="shared" ref="C23:G23" si="7">C8/$H8</f>
        <v>1.8115942028985507E-3</v>
      </c>
      <c r="D23">
        <f t="shared" si="7"/>
        <v>1.2077294685990338E-2</v>
      </c>
      <c r="E23">
        <f t="shared" si="7"/>
        <v>1.9927536231884056E-2</v>
      </c>
      <c r="F23">
        <f t="shared" si="7"/>
        <v>0.24456521739130435</v>
      </c>
      <c r="G23">
        <f t="shared" si="7"/>
        <v>0.72161835748792269</v>
      </c>
      <c r="H23">
        <f t="shared" si="4"/>
        <v>1</v>
      </c>
    </row>
    <row r="24" spans="1:8" x14ac:dyDescent="0.3">
      <c r="B24" t="s">
        <v>5</v>
      </c>
      <c r="C24">
        <f t="shared" ref="C24:G24" si="8">C9/$H9</f>
        <v>2.915575684664921E-2</v>
      </c>
      <c r="D24">
        <f t="shared" si="8"/>
        <v>0.14825560823720899</v>
      </c>
      <c r="E24">
        <f t="shared" si="8"/>
        <v>0.19234307550774893</v>
      </c>
      <c r="F24">
        <f t="shared" si="8"/>
        <v>0.46903969995046352</v>
      </c>
      <c r="G24">
        <f t="shared" si="8"/>
        <v>0.16120585945792937</v>
      </c>
      <c r="H24">
        <f t="shared" si="4"/>
        <v>1</v>
      </c>
    </row>
    <row r="26" spans="1:8" x14ac:dyDescent="0.3">
      <c r="A26" t="s">
        <v>44</v>
      </c>
    </row>
    <row r="28" spans="1:8" x14ac:dyDescent="0.3">
      <c r="E28" t="s">
        <v>237</v>
      </c>
    </row>
    <row r="29" spans="1:8" x14ac:dyDescent="0.3">
      <c r="B29" t="s">
        <v>238</v>
      </c>
      <c r="C29" t="s">
        <v>222</v>
      </c>
      <c r="D29" t="s">
        <v>221</v>
      </c>
      <c r="E29" t="s">
        <v>239</v>
      </c>
      <c r="F29" t="s">
        <v>240</v>
      </c>
      <c r="G29" t="s">
        <v>241</v>
      </c>
      <c r="H29" t="s">
        <v>5</v>
      </c>
    </row>
    <row r="30" spans="1:8" x14ac:dyDescent="0.3">
      <c r="B30" t="s">
        <v>222</v>
      </c>
      <c r="C30">
        <f>$H4*C$9/$H$9</f>
        <v>21.342014011747221</v>
      </c>
      <c r="D30">
        <f t="shared" ref="D30:G30" si="9">$H4*D$9/$H$9</f>
        <v>108.52310522963697</v>
      </c>
      <c r="E30">
        <f t="shared" si="9"/>
        <v>140.7951312716722</v>
      </c>
      <c r="F30">
        <f t="shared" si="9"/>
        <v>343.33706036373928</v>
      </c>
      <c r="G30">
        <f t="shared" si="9"/>
        <v>118.00268912320431</v>
      </c>
      <c r="H30">
        <f>SUM(C30:G30)</f>
        <v>731.99999999999989</v>
      </c>
    </row>
    <row r="31" spans="1:8" x14ac:dyDescent="0.3">
      <c r="B31" t="s">
        <v>221</v>
      </c>
      <c r="C31">
        <f t="shared" ref="C31:G31" si="10">$H5*C$9/$H$9</f>
        <v>67.728823154766118</v>
      </c>
      <c r="D31">
        <f t="shared" si="10"/>
        <v>344.39777793503646</v>
      </c>
      <c r="E31">
        <f t="shared" si="10"/>
        <v>446.81296440450075</v>
      </c>
      <c r="F31">
        <f t="shared" si="10"/>
        <v>1089.5792229849267</v>
      </c>
      <c r="G31">
        <f t="shared" si="10"/>
        <v>374.48121152076993</v>
      </c>
      <c r="H31">
        <f t="shared" ref="H31:H34" si="11">SUM(C31:G31)</f>
        <v>2323</v>
      </c>
    </row>
    <row r="32" spans="1:8" x14ac:dyDescent="0.3">
      <c r="B32" t="s">
        <v>239</v>
      </c>
      <c r="C32">
        <f t="shared" ref="C32:G32" si="12">$H6*C$9/$H$9</f>
        <v>89.012525652820045</v>
      </c>
      <c r="D32">
        <f t="shared" si="12"/>
        <v>452.62437194819898</v>
      </c>
      <c r="E32">
        <f t="shared" si="12"/>
        <v>587.22340952515742</v>
      </c>
      <c r="F32">
        <f t="shared" si="12"/>
        <v>1431.9782039487652</v>
      </c>
      <c r="G32">
        <f t="shared" si="12"/>
        <v>492.16148892505839</v>
      </c>
      <c r="H32">
        <f t="shared" si="11"/>
        <v>3053</v>
      </c>
    </row>
    <row r="33" spans="1:8" x14ac:dyDescent="0.3">
      <c r="B33" t="s">
        <v>240</v>
      </c>
      <c r="C33">
        <f t="shared" ref="C33:G33" si="13">$H7*C$9/$H$9</f>
        <v>185.63470384261552</v>
      </c>
      <c r="D33">
        <f t="shared" si="13"/>
        <v>943.94345764630953</v>
      </c>
      <c r="E33">
        <f t="shared" si="13"/>
        <v>1224.6483617578374</v>
      </c>
      <c r="F33">
        <f t="shared" si="13"/>
        <v>2986.3757695846011</v>
      </c>
      <c r="G33">
        <f t="shared" si="13"/>
        <v>1026.3977071686363</v>
      </c>
      <c r="H33">
        <f t="shared" si="11"/>
        <v>6367</v>
      </c>
    </row>
    <row r="34" spans="1:8" x14ac:dyDescent="0.3">
      <c r="B34" t="s">
        <v>241</v>
      </c>
      <c r="C34">
        <f t="shared" ref="C34:G34" si="14">$H8*C$9/$H$9</f>
        <v>48.281933338051097</v>
      </c>
      <c r="D34">
        <f t="shared" si="14"/>
        <v>245.51128724081806</v>
      </c>
      <c r="E34">
        <f t="shared" si="14"/>
        <v>318.52013304083221</v>
      </c>
      <c r="F34">
        <f t="shared" si="14"/>
        <v>776.72974311796759</v>
      </c>
      <c r="G34">
        <f t="shared" si="14"/>
        <v>266.95690326233102</v>
      </c>
      <c r="H34">
        <f t="shared" si="11"/>
        <v>1656</v>
      </c>
    </row>
    <row r="35" spans="1:8" x14ac:dyDescent="0.3">
      <c r="B35" t="s">
        <v>5</v>
      </c>
      <c r="C35">
        <f>SUM(C30:C34)</f>
        <v>412</v>
      </c>
      <c r="D35">
        <f t="shared" ref="D35:G35" si="15">SUM(D30:D34)</f>
        <v>2095</v>
      </c>
      <c r="E35">
        <f t="shared" si="15"/>
        <v>2718</v>
      </c>
      <c r="F35">
        <f t="shared" si="15"/>
        <v>6628</v>
      </c>
      <c r="G35">
        <f t="shared" si="15"/>
        <v>2278</v>
      </c>
      <c r="H35">
        <f>SUM(C35:G35)</f>
        <v>14131</v>
      </c>
    </row>
    <row r="37" spans="1:8" x14ac:dyDescent="0.3">
      <c r="A37" t="s">
        <v>36</v>
      </c>
    </row>
    <row r="38" spans="1:8" x14ac:dyDescent="0.3">
      <c r="E38" t="s">
        <v>237</v>
      </c>
    </row>
    <row r="39" spans="1:8" x14ac:dyDescent="0.3">
      <c r="B39" t="s">
        <v>238</v>
      </c>
      <c r="C39" t="s">
        <v>222</v>
      </c>
      <c r="D39" t="s">
        <v>221</v>
      </c>
      <c r="E39" t="s">
        <v>239</v>
      </c>
      <c r="F39" t="s">
        <v>240</v>
      </c>
      <c r="G39" t="s">
        <v>241</v>
      </c>
      <c r="H39" t="s">
        <v>5</v>
      </c>
    </row>
    <row r="40" spans="1:8" x14ac:dyDescent="0.3">
      <c r="B40" t="s">
        <v>222</v>
      </c>
      <c r="C40">
        <f>(C4-C30)^2/C30</f>
        <v>2159.0301141762125</v>
      </c>
      <c r="D40">
        <f t="shared" ref="D40:G40" si="16">(D4-D30)^2/D30</f>
        <v>439.83401919340707</v>
      </c>
      <c r="E40">
        <f t="shared" si="16"/>
        <v>3.3738932792557339</v>
      </c>
      <c r="F40">
        <f t="shared" si="16"/>
        <v>254.04766712887871</v>
      </c>
      <c r="G40">
        <f t="shared" si="16"/>
        <v>114.03658665579208</v>
      </c>
      <c r="H40">
        <f>SUM(C40:G40)</f>
        <v>2970.3222804335464</v>
      </c>
    </row>
    <row r="41" spans="1:8" x14ac:dyDescent="0.3">
      <c r="B41" t="s">
        <v>221</v>
      </c>
      <c r="C41">
        <f t="shared" ref="C41:G41" si="17">(C5-C31)^2/C31</f>
        <v>64.844901710701066</v>
      </c>
      <c r="D41">
        <f t="shared" si="17"/>
        <v>1396.884861853556</v>
      </c>
      <c r="E41">
        <f t="shared" si="17"/>
        <v>144.6042398320723</v>
      </c>
      <c r="F41">
        <f t="shared" si="17"/>
        <v>399.27775990586969</v>
      </c>
      <c r="G41">
        <f t="shared" si="17"/>
        <v>335.5493558967604</v>
      </c>
      <c r="H41">
        <f t="shared" ref="H41:H44" si="18">SUM(C41:G41)</f>
        <v>2341.1611191989596</v>
      </c>
    </row>
    <row r="42" spans="1:8" x14ac:dyDescent="0.3">
      <c r="B42" t="s">
        <v>239</v>
      </c>
      <c r="C42">
        <f t="shared" ref="C42:G42" si="19">(C6-C32)^2/C32</f>
        <v>39.123462213707157</v>
      </c>
      <c r="D42">
        <f t="shared" si="19"/>
        <v>3.4254454257518874</v>
      </c>
      <c r="E42">
        <f t="shared" si="19"/>
        <v>637.35639721118616</v>
      </c>
      <c r="F42">
        <f t="shared" si="19"/>
        <v>30.790165668699498</v>
      </c>
      <c r="G42">
        <f t="shared" si="19"/>
        <v>296.74691519729254</v>
      </c>
      <c r="H42">
        <f t="shared" si="18"/>
        <v>1007.4423857166372</v>
      </c>
    </row>
    <row r="43" spans="1:8" x14ac:dyDescent="0.3">
      <c r="B43" t="s">
        <v>240</v>
      </c>
      <c r="C43">
        <f t="shared" ref="C43:G43" si="20">(C7-C33)^2/C33</f>
        <v>168.07104466856731</v>
      </c>
      <c r="D43">
        <f t="shared" si="20"/>
        <v>558.28969355168829</v>
      </c>
      <c r="E43">
        <f t="shared" si="20"/>
        <v>254.83885974154268</v>
      </c>
      <c r="F43">
        <f t="shared" si="20"/>
        <v>790.66206254015947</v>
      </c>
      <c r="G43">
        <f t="shared" si="20"/>
        <v>5.5386077020468454</v>
      </c>
      <c r="H43">
        <f t="shared" si="18"/>
        <v>1777.4002682040048</v>
      </c>
    </row>
    <row r="44" spans="1:8" x14ac:dyDescent="0.3">
      <c r="B44" t="s">
        <v>241</v>
      </c>
      <c r="C44">
        <f t="shared" ref="C44:G44" si="21">(C8-C34)^2/C34</f>
        <v>42.468338466797398</v>
      </c>
      <c r="D44">
        <f t="shared" si="21"/>
        <v>207.14054023564125</v>
      </c>
      <c r="E44">
        <f t="shared" si="21"/>
        <v>255.93906919913272</v>
      </c>
      <c r="F44">
        <f t="shared" si="21"/>
        <v>177.90357990393488</v>
      </c>
      <c r="G44">
        <f t="shared" si="21"/>
        <v>3226.2285742657969</v>
      </c>
      <c r="H44">
        <f t="shared" si="18"/>
        <v>3909.6801020713028</v>
      </c>
    </row>
    <row r="45" spans="1:8" x14ac:dyDescent="0.3">
      <c r="B45" t="s">
        <v>5</v>
      </c>
      <c r="C45">
        <f>SUM(C40:C44)</f>
        <v>2473.537861235985</v>
      </c>
      <c r="D45">
        <f t="shared" ref="D45" si="22">SUM(D40:D44)</f>
        <v>2605.5745602600446</v>
      </c>
      <c r="E45">
        <f t="shared" ref="E45" si="23">SUM(E40:E44)</f>
        <v>1296.1124592631895</v>
      </c>
      <c r="F45">
        <f t="shared" ref="F45" si="24">SUM(F40:F44)</f>
        <v>1652.6812351475423</v>
      </c>
      <c r="G45">
        <f t="shared" ref="G45" si="25">SUM(G40:G44)</f>
        <v>3978.1000397176886</v>
      </c>
      <c r="H45">
        <f>SUM(C45:G45)</f>
        <v>12006.006155624449</v>
      </c>
    </row>
    <row r="47" spans="1:8" x14ac:dyDescent="0.3">
      <c r="A47" t="s">
        <v>268</v>
      </c>
      <c r="C47">
        <f>H45</f>
        <v>12006.006155624449</v>
      </c>
    </row>
    <row r="49" spans="1:3" x14ac:dyDescent="0.3">
      <c r="A49" t="s">
        <v>57</v>
      </c>
    </row>
    <row r="50" spans="1:3" x14ac:dyDescent="0.3">
      <c r="A50" t="s">
        <v>38</v>
      </c>
      <c r="C50">
        <f>SQRT(C47/H9/4)</f>
        <v>0.46087466717394465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XFD15"/>
    </sheetView>
  </sheetViews>
  <sheetFormatPr defaultRowHeight="14.4" x14ac:dyDescent="0.3"/>
  <sheetData>
    <row r="1" spans="1:5" s="42" customFormat="1" x14ac:dyDescent="0.3">
      <c r="A1" s="42" t="s">
        <v>246</v>
      </c>
    </row>
    <row r="2" spans="1:5" s="42" customFormat="1" x14ac:dyDescent="0.3"/>
    <row r="3" spans="1:5" s="42" customFormat="1" x14ac:dyDescent="0.3">
      <c r="B3" s="132" t="s">
        <v>247</v>
      </c>
      <c r="C3" s="132"/>
      <c r="D3" s="132"/>
    </row>
    <row r="4" spans="1:5" s="42" customFormat="1" x14ac:dyDescent="0.3">
      <c r="A4" s="42" t="s">
        <v>248</v>
      </c>
      <c r="B4" s="42" t="s">
        <v>249</v>
      </c>
      <c r="C4" s="42" t="s">
        <v>250</v>
      </c>
      <c r="D4" s="42" t="s">
        <v>251</v>
      </c>
      <c r="E4" s="42" t="s">
        <v>5</v>
      </c>
    </row>
    <row r="5" spans="1:5" s="42" customFormat="1" x14ac:dyDescent="0.3">
      <c r="A5" s="42" t="s">
        <v>252</v>
      </c>
      <c r="B5" s="42">
        <v>50</v>
      </c>
      <c r="C5" s="42">
        <v>116</v>
      </c>
      <c r="D5" s="42">
        <v>160</v>
      </c>
      <c r="E5" s="42">
        <f>SUM(B5:D5)</f>
        <v>326</v>
      </c>
    </row>
    <row r="6" spans="1:5" s="42" customFormat="1" x14ac:dyDescent="0.3">
      <c r="A6" s="133" t="s">
        <v>253</v>
      </c>
      <c r="B6" s="42">
        <v>90</v>
      </c>
      <c r="C6" s="42">
        <v>140</v>
      </c>
      <c r="D6" s="42">
        <v>241</v>
      </c>
      <c r="E6" s="42">
        <f t="shared" ref="E6:E8" si="0">SUM(B6:D6)</f>
        <v>471</v>
      </c>
    </row>
    <row r="7" spans="1:5" s="42" customFormat="1" x14ac:dyDescent="0.3">
      <c r="A7" s="133" t="s">
        <v>254</v>
      </c>
      <c r="B7" s="42">
        <v>20</v>
      </c>
      <c r="C7" s="42">
        <v>200</v>
      </c>
      <c r="D7" s="42">
        <v>260</v>
      </c>
      <c r="E7" s="42">
        <f t="shared" si="0"/>
        <v>480</v>
      </c>
    </row>
    <row r="8" spans="1:5" s="42" customFormat="1" x14ac:dyDescent="0.3">
      <c r="A8" s="42" t="s">
        <v>255</v>
      </c>
      <c r="B8" s="42">
        <v>1</v>
      </c>
      <c r="C8" s="42">
        <v>280</v>
      </c>
      <c r="D8" s="42">
        <v>200</v>
      </c>
      <c r="E8" s="42">
        <f t="shared" si="0"/>
        <v>481</v>
      </c>
    </row>
    <row r="9" spans="1:5" s="42" customFormat="1" x14ac:dyDescent="0.3">
      <c r="A9" s="42" t="s">
        <v>5</v>
      </c>
      <c r="B9" s="42">
        <f>SUM(B5:B8)</f>
        <v>161</v>
      </c>
      <c r="C9" s="42">
        <f t="shared" ref="C9:E9" si="1">SUM(C5:C8)</f>
        <v>736</v>
      </c>
      <c r="D9" s="42">
        <f t="shared" si="1"/>
        <v>861</v>
      </c>
      <c r="E9" s="42">
        <f t="shared" si="1"/>
        <v>1758</v>
      </c>
    </row>
    <row r="10" spans="1:5" s="42" customFormat="1" x14ac:dyDescent="0.3"/>
    <row r="11" spans="1:5" s="42" customFormat="1" x14ac:dyDescent="0.3">
      <c r="A11" s="42" t="s">
        <v>256</v>
      </c>
    </row>
    <row r="12" spans="1:5" s="42" customFormat="1" x14ac:dyDescent="0.3">
      <c r="A12" s="42" t="s">
        <v>257</v>
      </c>
    </row>
    <row r="13" spans="1:5" s="42" customFormat="1" x14ac:dyDescent="0.3">
      <c r="A13" s="42" t="s">
        <v>258</v>
      </c>
    </row>
    <row r="14" spans="1:5" s="42" customFormat="1" x14ac:dyDescent="0.3">
      <c r="A14" s="42" t="s">
        <v>259</v>
      </c>
    </row>
    <row r="17" spans="1:8" x14ac:dyDescent="0.3">
      <c r="A17" t="s">
        <v>32</v>
      </c>
    </row>
    <row r="19" spans="1:8" x14ac:dyDescent="0.3">
      <c r="B19" s="129" t="s">
        <v>247</v>
      </c>
      <c r="C19" s="129"/>
      <c r="D19" s="129"/>
    </row>
    <row r="20" spans="1:8" x14ac:dyDescent="0.3">
      <c r="A20" t="s">
        <v>248</v>
      </c>
      <c r="B20" t="s">
        <v>249</v>
      </c>
      <c r="C20" t="s">
        <v>250</v>
      </c>
      <c r="D20" t="s">
        <v>251</v>
      </c>
      <c r="E20" t="s">
        <v>5</v>
      </c>
    </row>
    <row r="21" spans="1:8" x14ac:dyDescent="0.3">
      <c r="A21">
        <f>15/2</f>
        <v>7.5</v>
      </c>
      <c r="B21">
        <v>50</v>
      </c>
      <c r="C21">
        <v>116</v>
      </c>
      <c r="D21">
        <v>160</v>
      </c>
      <c r="E21">
        <f>SUM(B21:D21)</f>
        <v>326</v>
      </c>
    </row>
    <row r="22" spans="1:8" x14ac:dyDescent="0.3">
      <c r="A22" s="37">
        <f>45/2</f>
        <v>22.5</v>
      </c>
      <c r="B22">
        <v>90</v>
      </c>
      <c r="C22">
        <v>140</v>
      </c>
      <c r="D22">
        <v>241</v>
      </c>
      <c r="E22">
        <f t="shared" ref="E22:E24" si="2">SUM(B22:D22)</f>
        <v>471</v>
      </c>
      <c r="F22" s="130"/>
      <c r="G22" s="130"/>
      <c r="H22" s="130"/>
    </row>
    <row r="23" spans="1:8" x14ac:dyDescent="0.3">
      <c r="A23" s="37">
        <f>75/2</f>
        <v>37.5</v>
      </c>
      <c r="B23">
        <v>20</v>
      </c>
      <c r="C23">
        <v>200</v>
      </c>
      <c r="D23">
        <v>260</v>
      </c>
      <c r="E23">
        <f t="shared" si="2"/>
        <v>480</v>
      </c>
    </row>
    <row r="24" spans="1:8" x14ac:dyDescent="0.3">
      <c r="A24">
        <f>110/2</f>
        <v>55</v>
      </c>
      <c r="B24">
        <v>1</v>
      </c>
      <c r="C24">
        <v>280</v>
      </c>
      <c r="D24">
        <v>200</v>
      </c>
      <c r="E24">
        <f t="shared" si="2"/>
        <v>481</v>
      </c>
    </row>
    <row r="25" spans="1:8" x14ac:dyDescent="0.3">
      <c r="A25" t="s">
        <v>5</v>
      </c>
      <c r="B25">
        <f>SUM(B21:B24)</f>
        <v>161</v>
      </c>
      <c r="C25">
        <f t="shared" ref="C25:E25" si="3">SUM(C21:C24)</f>
        <v>736</v>
      </c>
      <c r="D25">
        <f t="shared" si="3"/>
        <v>861</v>
      </c>
      <c r="E25">
        <f t="shared" si="3"/>
        <v>1758</v>
      </c>
    </row>
    <row r="27" spans="1:8" x14ac:dyDescent="0.3">
      <c r="A27" t="s">
        <v>269</v>
      </c>
      <c r="E27">
        <f>(A21*B21+A22*B22+A23*B23+A24*B24)/B25</f>
        <v>19.906832298136646</v>
      </c>
    </row>
    <row r="28" spans="1:8" x14ac:dyDescent="0.3">
      <c r="A28" t="s">
        <v>270</v>
      </c>
      <c r="E28">
        <f>(A21*C21+A22*C22+A23*C23+A24*C24)/C25</f>
        <v>36.576086956521742</v>
      </c>
    </row>
    <row r="29" spans="1:8" x14ac:dyDescent="0.3">
      <c r="A29" t="s">
        <v>271</v>
      </c>
      <c r="E29">
        <f>(A21*D21+A22*D22+A23*D23+A24*D24)/D25</f>
        <v>31.791521486643436</v>
      </c>
    </row>
    <row r="31" spans="1:8" x14ac:dyDescent="0.3">
      <c r="A31" t="s">
        <v>273</v>
      </c>
    </row>
    <row r="32" spans="1:8" x14ac:dyDescent="0.3">
      <c r="E32" s="130"/>
      <c r="F32" s="130"/>
      <c r="G32" s="130"/>
    </row>
    <row r="33" spans="1:14" x14ac:dyDescent="0.3">
      <c r="A33" t="s">
        <v>34</v>
      </c>
    </row>
    <row r="35" spans="1:14" x14ac:dyDescent="0.3">
      <c r="A35" t="s">
        <v>272</v>
      </c>
      <c r="E35">
        <f>(A21*E21+A22*E22+A23*E23+A24*E24)/E25</f>
        <v>32.706200227531284</v>
      </c>
    </row>
    <row r="36" spans="1:14" x14ac:dyDescent="0.3">
      <c r="A36" t="s">
        <v>76</v>
      </c>
      <c r="E36">
        <f>((E27-E35)^2*B25+(E28-E35)^2*C25+(E29-E35)^2*D25)/E25</f>
        <v>21.682783103390559</v>
      </c>
    </row>
    <row r="37" spans="1:14" x14ac:dyDescent="0.3">
      <c r="A37" t="s">
        <v>77</v>
      </c>
      <c r="E37">
        <f>((A21-E35)^2*E21+(A22-E35)^2*E22+(A23-E35)^2*E23+(A24-E35)^2*E24)/E25</f>
        <v>287.98720274034127</v>
      </c>
    </row>
    <row r="39" spans="1:14" x14ac:dyDescent="0.3">
      <c r="A39" t="s">
        <v>94</v>
      </c>
      <c r="C39">
        <f>E36/E37</f>
        <v>7.5290786872014126E-2</v>
      </c>
    </row>
    <row r="41" spans="1:14" x14ac:dyDescent="0.3">
      <c r="A41" t="s">
        <v>36</v>
      </c>
    </row>
    <row r="42" spans="1:14" x14ac:dyDescent="0.3">
      <c r="A42" t="s">
        <v>274</v>
      </c>
      <c r="E42">
        <f>((A21-E27)^2*B21+(A22-E27)^2*B22+(A23-E27)^2*B23+(A24-E27)^2*B24)/B25</f>
        <v>97.662127232745661</v>
      </c>
    </row>
    <row r="43" spans="1:14" x14ac:dyDescent="0.3">
      <c r="A43" t="s">
        <v>275</v>
      </c>
      <c r="E43">
        <f>((A21-E28)^2*C21+(A22-E28)^2*C22+(A23-E28)^2*C23+(A24-E28)^2*C24)/C25</f>
        <v>300.30127599243855</v>
      </c>
    </row>
    <row r="44" spans="1:14" x14ac:dyDescent="0.3">
      <c r="A44" t="s">
        <v>276</v>
      </c>
      <c r="E44">
        <f>((A21-E29)^2*D21+(A22-E29)^2*D22+(A23-E29)^2*D23+(A24-E29)^2*D24)/D25</f>
        <v>268.77796528089721</v>
      </c>
    </row>
    <row r="46" spans="1:14" x14ac:dyDescent="0.3">
      <c r="A46" t="s">
        <v>86</v>
      </c>
      <c r="E46">
        <f>(E42*B25+E43*C25+E44*D25)/E25</f>
        <v>266.30441963695068</v>
      </c>
    </row>
    <row r="48" spans="1:14" x14ac:dyDescent="0.3">
      <c r="A48" t="s">
        <v>277</v>
      </c>
      <c r="H48">
        <f>E36</f>
        <v>21.682783103390559</v>
      </c>
      <c r="I48" s="37" t="s">
        <v>278</v>
      </c>
      <c r="J48">
        <f>E46</f>
        <v>266.30441963695068</v>
      </c>
      <c r="K48" s="37" t="s">
        <v>279</v>
      </c>
      <c r="L48">
        <f>H48+J48</f>
        <v>287.98720274034122</v>
      </c>
      <c r="M48" s="37" t="s">
        <v>279</v>
      </c>
      <c r="N48" t="s">
        <v>280</v>
      </c>
    </row>
    <row r="50" spans="1:1" x14ac:dyDescent="0.3">
      <c r="A50" t="s">
        <v>57</v>
      </c>
    </row>
  </sheetData>
  <mergeCells count="2">
    <mergeCell ref="B3:D3"/>
    <mergeCell ref="B19:D1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sqref="A1:C1048576"/>
    </sheetView>
  </sheetViews>
  <sheetFormatPr defaultRowHeight="14.4" x14ac:dyDescent="0.3"/>
  <cols>
    <col min="1" max="1" width="19.44140625" style="42" customWidth="1"/>
    <col min="2" max="3" width="8.88671875" style="42"/>
  </cols>
  <sheetData>
    <row r="1" spans="1:12" x14ac:dyDescent="0.3">
      <c r="A1" s="42" t="s">
        <v>260</v>
      </c>
    </row>
    <row r="2" spans="1:12" x14ac:dyDescent="0.3">
      <c r="A2" s="42" t="s">
        <v>261</v>
      </c>
    </row>
    <row r="3" spans="1:12" x14ac:dyDescent="0.3">
      <c r="A3" s="42" t="s">
        <v>262</v>
      </c>
    </row>
    <row r="4" spans="1:12" x14ac:dyDescent="0.3">
      <c r="A4" s="42" t="s">
        <v>263</v>
      </c>
    </row>
    <row r="7" spans="1:12" x14ac:dyDescent="0.3">
      <c r="A7" s="42" t="s">
        <v>264</v>
      </c>
      <c r="B7" s="42" t="s">
        <v>265</v>
      </c>
      <c r="C7" s="42" t="s">
        <v>266</v>
      </c>
      <c r="D7" t="s">
        <v>283</v>
      </c>
      <c r="E7" t="s">
        <v>284</v>
      </c>
      <c r="F7" t="s">
        <v>285</v>
      </c>
      <c r="G7" t="s">
        <v>287</v>
      </c>
      <c r="H7" t="s">
        <v>288</v>
      </c>
    </row>
    <row r="8" spans="1:12" x14ac:dyDescent="0.3">
      <c r="A8" s="134">
        <v>43886</v>
      </c>
      <c r="B8" s="42">
        <v>25.68</v>
      </c>
      <c r="C8" s="42">
        <v>7.8049999999999997</v>
      </c>
      <c r="D8">
        <f>B8-N$27</f>
        <v>5.9924001200000028</v>
      </c>
      <c r="E8">
        <f>C8-N$28</f>
        <v>1.0708399999999996</v>
      </c>
      <c r="F8">
        <f>D8*E8</f>
        <v>6.4169017445008008</v>
      </c>
      <c r="G8">
        <f>D8^2</f>
        <v>35.908859198176046</v>
      </c>
      <c r="H8">
        <f>E8^2</f>
        <v>1.1466983055999991</v>
      </c>
      <c r="L8" t="s">
        <v>109</v>
      </c>
    </row>
    <row r="9" spans="1:12" x14ac:dyDescent="0.3">
      <c r="A9" s="134">
        <v>43887</v>
      </c>
      <c r="B9" s="42">
        <v>25.700001</v>
      </c>
      <c r="C9" s="42">
        <v>7.9550000000000001</v>
      </c>
      <c r="D9">
        <f t="shared" ref="D9:D32" si="0">B9-N$27</f>
        <v>6.0124011200000034</v>
      </c>
      <c r="E9">
        <f t="shared" ref="E9:E32" si="1">C9-N$28</f>
        <v>1.2208399999999999</v>
      </c>
      <c r="F9">
        <f t="shared" ref="F9:F32" si="2">D9*E9</f>
        <v>7.3401797833408038</v>
      </c>
      <c r="G9">
        <f t="shared" ref="G9:G32" si="3">D9^2</f>
        <v>36.148967227777298</v>
      </c>
      <c r="H9">
        <f t="shared" ref="H9:H32" si="4">E9^2</f>
        <v>1.4904503055999998</v>
      </c>
    </row>
    <row r="10" spans="1:12" x14ac:dyDescent="0.3">
      <c r="A10" s="134">
        <v>43888</v>
      </c>
      <c r="B10" s="42">
        <v>25.18</v>
      </c>
      <c r="C10" s="42">
        <v>7.9160000000000004</v>
      </c>
      <c r="D10">
        <f t="shared" si="0"/>
        <v>5.4924001200000028</v>
      </c>
      <c r="E10">
        <f t="shared" si="1"/>
        <v>1.1818400000000002</v>
      </c>
      <c r="F10">
        <f t="shared" si="2"/>
        <v>6.4911381578208047</v>
      </c>
      <c r="G10">
        <f t="shared" si="3"/>
        <v>30.166459078176043</v>
      </c>
      <c r="H10">
        <f t="shared" si="4"/>
        <v>1.3967457856000005</v>
      </c>
    </row>
    <row r="11" spans="1:12" x14ac:dyDescent="0.3">
      <c r="A11" s="134">
        <v>43889</v>
      </c>
      <c r="B11" s="42">
        <v>25</v>
      </c>
      <c r="C11" s="42">
        <v>7.5759999999999996</v>
      </c>
      <c r="D11">
        <f t="shared" si="0"/>
        <v>5.3124001200000031</v>
      </c>
      <c r="E11">
        <f t="shared" si="1"/>
        <v>0.84183999999999948</v>
      </c>
      <c r="F11">
        <f t="shared" si="2"/>
        <v>4.4721909170208001</v>
      </c>
      <c r="G11">
        <f t="shared" si="3"/>
        <v>28.221595034976048</v>
      </c>
      <c r="H11">
        <f t="shared" si="4"/>
        <v>0.70869458559999909</v>
      </c>
    </row>
    <row r="12" spans="1:12" x14ac:dyDescent="0.3">
      <c r="A12" s="134">
        <v>43892</v>
      </c>
      <c r="B12" s="42">
        <v>25.02</v>
      </c>
      <c r="C12" s="42">
        <v>7.64</v>
      </c>
      <c r="D12">
        <f t="shared" si="0"/>
        <v>5.3324001200000026</v>
      </c>
      <c r="E12">
        <f t="shared" si="1"/>
        <v>0.90583999999999953</v>
      </c>
      <c r="F12">
        <f t="shared" si="2"/>
        <v>4.8303013247008</v>
      </c>
      <c r="G12">
        <f t="shared" si="3"/>
        <v>28.434491039776042</v>
      </c>
      <c r="H12">
        <f t="shared" si="4"/>
        <v>0.82054610559999919</v>
      </c>
    </row>
    <row r="13" spans="1:12" x14ac:dyDescent="0.3">
      <c r="A13" s="134">
        <v>43893</v>
      </c>
      <c r="B13" s="42">
        <v>24.51</v>
      </c>
      <c r="C13" s="42">
        <v>7.7930000000000001</v>
      </c>
      <c r="D13">
        <f t="shared" si="0"/>
        <v>4.8224001200000046</v>
      </c>
      <c r="E13">
        <f t="shared" si="1"/>
        <v>1.05884</v>
      </c>
      <c r="F13">
        <f t="shared" si="2"/>
        <v>5.1061501430608045</v>
      </c>
      <c r="G13">
        <f t="shared" si="3"/>
        <v>23.255542917376058</v>
      </c>
      <c r="H13">
        <f t="shared" si="4"/>
        <v>1.1211421455999999</v>
      </c>
    </row>
    <row r="14" spans="1:12" x14ac:dyDescent="0.3">
      <c r="A14" s="134">
        <v>43894</v>
      </c>
      <c r="B14" s="42">
        <v>24.92</v>
      </c>
      <c r="C14" s="42">
        <v>8.24</v>
      </c>
      <c r="D14">
        <f t="shared" si="0"/>
        <v>5.2324001200000048</v>
      </c>
      <c r="E14">
        <f t="shared" si="1"/>
        <v>1.5058400000000001</v>
      </c>
      <c r="F14">
        <f t="shared" si="2"/>
        <v>7.8791573967008075</v>
      </c>
      <c r="G14">
        <f t="shared" si="3"/>
        <v>27.378011015776064</v>
      </c>
      <c r="H14">
        <f t="shared" si="4"/>
        <v>2.2675541056000004</v>
      </c>
    </row>
    <row r="15" spans="1:12" x14ac:dyDescent="0.3">
      <c r="A15" s="134">
        <v>43895</v>
      </c>
      <c r="B15" s="42">
        <v>24.309999000000001</v>
      </c>
      <c r="C15" s="42">
        <v>8.1449999999999996</v>
      </c>
      <c r="D15">
        <f t="shared" si="0"/>
        <v>4.6223991200000043</v>
      </c>
      <c r="E15">
        <f t="shared" si="1"/>
        <v>1.4108399999999994</v>
      </c>
      <c r="F15">
        <f t="shared" si="2"/>
        <v>6.5214655744608034</v>
      </c>
      <c r="G15">
        <f t="shared" si="3"/>
        <v>21.366573624576816</v>
      </c>
      <c r="H15">
        <f t="shared" si="4"/>
        <v>1.9904695055999984</v>
      </c>
    </row>
    <row r="16" spans="1:12" x14ac:dyDescent="0.3">
      <c r="A16" s="134">
        <v>43896</v>
      </c>
      <c r="B16" s="42">
        <v>22.809999000000001</v>
      </c>
      <c r="C16" s="42">
        <v>7.891</v>
      </c>
      <c r="D16">
        <f t="shared" si="0"/>
        <v>3.1223991200000043</v>
      </c>
      <c r="E16">
        <f t="shared" si="1"/>
        <v>1.1568399999999999</v>
      </c>
      <c r="F16">
        <f t="shared" si="2"/>
        <v>3.6121161979808045</v>
      </c>
      <c r="G16">
        <f t="shared" si="3"/>
        <v>9.7493762645768012</v>
      </c>
      <c r="H16">
        <f t="shared" si="4"/>
        <v>1.3382787855999998</v>
      </c>
    </row>
    <row r="17" spans="1:14" x14ac:dyDescent="0.3">
      <c r="A17" s="134">
        <v>43899</v>
      </c>
      <c r="B17" s="42">
        <v>17.829999999999998</v>
      </c>
      <c r="C17" s="42">
        <v>7.1059999999999999</v>
      </c>
      <c r="D17">
        <f t="shared" si="0"/>
        <v>-1.8575998799999986</v>
      </c>
      <c r="E17">
        <f t="shared" si="1"/>
        <v>0.37183999999999973</v>
      </c>
      <c r="F17">
        <f t="shared" si="2"/>
        <v>-0.69072993937919902</v>
      </c>
      <c r="G17">
        <f t="shared" si="3"/>
        <v>3.4506773141760094</v>
      </c>
      <c r="H17">
        <f t="shared" si="4"/>
        <v>0.13826498559999981</v>
      </c>
    </row>
    <row r="18" spans="1:14" x14ac:dyDescent="0.3">
      <c r="A18" s="134">
        <v>43900</v>
      </c>
      <c r="B18" s="42">
        <v>19.190000999999999</v>
      </c>
      <c r="C18" s="42">
        <v>6.7039999999999997</v>
      </c>
      <c r="D18">
        <f t="shared" si="0"/>
        <v>-0.49759887999999819</v>
      </c>
      <c r="E18">
        <f t="shared" si="1"/>
        <v>-3.0160000000000409E-2</v>
      </c>
      <c r="F18">
        <f t="shared" si="2"/>
        <v>1.5007582220800149E-2</v>
      </c>
      <c r="G18">
        <f t="shared" si="3"/>
        <v>0.2476046453772526</v>
      </c>
      <c r="H18">
        <f t="shared" si="4"/>
        <v>9.0962560000002466E-4</v>
      </c>
    </row>
    <row r="19" spans="1:14" x14ac:dyDescent="0.3">
      <c r="A19" s="134">
        <v>43901</v>
      </c>
      <c r="B19" s="42">
        <v>17.899999999999999</v>
      </c>
      <c r="C19" s="42">
        <v>6.52</v>
      </c>
      <c r="D19">
        <f t="shared" si="0"/>
        <v>-1.7875998799999984</v>
      </c>
      <c r="E19">
        <f t="shared" si="1"/>
        <v>-0.21416000000000057</v>
      </c>
      <c r="F19">
        <f t="shared" si="2"/>
        <v>0.38283239030080068</v>
      </c>
      <c r="G19">
        <f t="shared" si="3"/>
        <v>3.1955133309760084</v>
      </c>
      <c r="H19">
        <f t="shared" si="4"/>
        <v>4.5864505600000244E-2</v>
      </c>
    </row>
    <row r="20" spans="1:14" x14ac:dyDescent="0.3">
      <c r="A20" s="134">
        <v>43902</v>
      </c>
      <c r="B20" s="42">
        <v>14.85</v>
      </c>
      <c r="C20" s="42">
        <v>5.226</v>
      </c>
      <c r="D20">
        <f t="shared" si="0"/>
        <v>-4.8375998799999973</v>
      </c>
      <c r="E20">
        <f t="shared" si="1"/>
        <v>-1.5081600000000002</v>
      </c>
      <c r="F20">
        <f t="shared" si="2"/>
        <v>7.2958746350207964</v>
      </c>
      <c r="G20">
        <f t="shared" si="3"/>
        <v>23.402372598975987</v>
      </c>
      <c r="H20">
        <f t="shared" si="4"/>
        <v>2.2745465856000004</v>
      </c>
    </row>
    <row r="21" spans="1:14" x14ac:dyDescent="0.3">
      <c r="A21" s="134">
        <v>43903</v>
      </c>
      <c r="B21" s="42">
        <v>16.27</v>
      </c>
      <c r="C21" s="42">
        <v>5.6189999999999998</v>
      </c>
      <c r="D21">
        <f t="shared" si="0"/>
        <v>-3.4175998799999974</v>
      </c>
      <c r="E21">
        <f t="shared" si="1"/>
        <v>-1.1151600000000004</v>
      </c>
      <c r="F21">
        <f t="shared" si="2"/>
        <v>3.8111706821807982</v>
      </c>
      <c r="G21">
        <f t="shared" si="3"/>
        <v>11.679988939775997</v>
      </c>
      <c r="H21">
        <f t="shared" si="4"/>
        <v>1.2435818256000009</v>
      </c>
    </row>
    <row r="22" spans="1:14" x14ac:dyDescent="0.3">
      <c r="A22" s="134">
        <v>43906</v>
      </c>
      <c r="B22" s="42">
        <v>14.14</v>
      </c>
      <c r="C22" s="42">
        <v>5.4859999999999998</v>
      </c>
      <c r="D22">
        <f t="shared" si="0"/>
        <v>-5.5475998799999964</v>
      </c>
      <c r="E22">
        <f t="shared" si="1"/>
        <v>-1.2481600000000004</v>
      </c>
      <c r="F22">
        <f t="shared" si="2"/>
        <v>6.9242922662207977</v>
      </c>
      <c r="G22">
        <f t="shared" si="3"/>
        <v>30.775864428575975</v>
      </c>
      <c r="H22">
        <f t="shared" si="4"/>
        <v>1.5579033856000009</v>
      </c>
    </row>
    <row r="23" spans="1:14" x14ac:dyDescent="0.3">
      <c r="A23" s="134">
        <v>43907</v>
      </c>
      <c r="B23" s="42">
        <v>15.07</v>
      </c>
      <c r="C23" s="42">
        <v>5.72</v>
      </c>
      <c r="D23">
        <f t="shared" si="0"/>
        <v>-4.6175998799999967</v>
      </c>
      <c r="E23">
        <f t="shared" si="1"/>
        <v>-1.0141600000000004</v>
      </c>
      <c r="F23">
        <f t="shared" si="2"/>
        <v>4.6829850943007987</v>
      </c>
      <c r="G23">
        <f t="shared" si="3"/>
        <v>21.322228651775983</v>
      </c>
      <c r="H23">
        <f t="shared" si="4"/>
        <v>1.0285205056000009</v>
      </c>
    </row>
    <row r="24" spans="1:14" x14ac:dyDescent="0.3">
      <c r="A24" s="134">
        <v>43908</v>
      </c>
      <c r="B24" s="42">
        <v>14.4</v>
      </c>
      <c r="C24" s="42">
        <v>5.89</v>
      </c>
      <c r="D24">
        <f t="shared" si="0"/>
        <v>-5.2875998799999966</v>
      </c>
      <c r="E24">
        <f t="shared" si="1"/>
        <v>-0.84416000000000047</v>
      </c>
      <c r="F24">
        <f t="shared" si="2"/>
        <v>4.4635803147008</v>
      </c>
      <c r="G24">
        <f t="shared" si="3"/>
        <v>27.958712490975977</v>
      </c>
      <c r="H24">
        <f t="shared" si="4"/>
        <v>0.71260610560000082</v>
      </c>
    </row>
    <row r="25" spans="1:14" x14ac:dyDescent="0.3">
      <c r="A25" s="134">
        <v>43909</v>
      </c>
      <c r="B25" s="42">
        <v>15.06</v>
      </c>
      <c r="C25" s="42">
        <v>5.83</v>
      </c>
      <c r="D25">
        <f t="shared" si="0"/>
        <v>-4.6275998799999964</v>
      </c>
      <c r="E25">
        <f t="shared" si="1"/>
        <v>-0.90416000000000007</v>
      </c>
      <c r="F25">
        <f t="shared" si="2"/>
        <v>4.1840907075007969</v>
      </c>
      <c r="G25">
        <f t="shared" si="3"/>
        <v>21.414680649375981</v>
      </c>
      <c r="H25">
        <f t="shared" si="4"/>
        <v>0.81750530560000012</v>
      </c>
    </row>
    <row r="26" spans="1:14" x14ac:dyDescent="0.3">
      <c r="A26" s="134">
        <v>43910</v>
      </c>
      <c r="B26" s="42">
        <v>15.77</v>
      </c>
      <c r="C26" s="42">
        <v>5.8890000000000002</v>
      </c>
      <c r="D26">
        <f t="shared" si="0"/>
        <v>-3.9175998799999974</v>
      </c>
      <c r="E26">
        <f t="shared" si="1"/>
        <v>-0.84515999999999991</v>
      </c>
      <c r="F26">
        <f t="shared" si="2"/>
        <v>3.3109987145807973</v>
      </c>
      <c r="G26">
        <f t="shared" si="3"/>
        <v>15.347588819775995</v>
      </c>
      <c r="H26">
        <f t="shared" si="4"/>
        <v>0.71429542559999981</v>
      </c>
      <c r="L26" t="s">
        <v>34</v>
      </c>
    </row>
    <row r="27" spans="1:14" x14ac:dyDescent="0.3">
      <c r="A27" s="134">
        <v>43913</v>
      </c>
      <c r="B27" s="42">
        <v>15.68</v>
      </c>
      <c r="C27" s="42">
        <v>5.9720000000000004</v>
      </c>
      <c r="D27">
        <f t="shared" si="0"/>
        <v>-4.0075998799999972</v>
      </c>
      <c r="E27">
        <f t="shared" si="1"/>
        <v>-0.76215999999999973</v>
      </c>
      <c r="F27">
        <f t="shared" si="2"/>
        <v>3.0544323245407967</v>
      </c>
      <c r="G27">
        <f t="shared" si="3"/>
        <v>16.06085679817599</v>
      </c>
      <c r="H27">
        <f t="shared" si="4"/>
        <v>0.58088786559999961</v>
      </c>
      <c r="L27" t="s">
        <v>281</v>
      </c>
      <c r="N27">
        <f>AVERAGE(B8:B32)</f>
        <v>19.687599879999997</v>
      </c>
    </row>
    <row r="28" spans="1:14" x14ac:dyDescent="0.3">
      <c r="A28" s="134">
        <v>43914</v>
      </c>
      <c r="B28" s="42">
        <v>17.799999</v>
      </c>
      <c r="C28" s="42">
        <v>6.3109999999999999</v>
      </c>
      <c r="D28">
        <f t="shared" si="0"/>
        <v>-1.8876008799999973</v>
      </c>
      <c r="E28">
        <f t="shared" si="1"/>
        <v>-0.4231600000000002</v>
      </c>
      <c r="F28">
        <f t="shared" si="2"/>
        <v>0.79875718838079923</v>
      </c>
      <c r="G28">
        <f t="shared" si="3"/>
        <v>3.5630370821767641</v>
      </c>
      <c r="H28">
        <f t="shared" si="4"/>
        <v>0.17906438560000018</v>
      </c>
      <c r="L28" t="s">
        <v>282</v>
      </c>
      <c r="N28">
        <f>AVERAGE(C8:C32)</f>
        <v>6.7341600000000001</v>
      </c>
    </row>
    <row r="29" spans="1:14" x14ac:dyDescent="0.3">
      <c r="A29" s="134">
        <v>43915</v>
      </c>
      <c r="B29" s="42">
        <v>18.73</v>
      </c>
      <c r="C29" s="42">
        <v>6.3</v>
      </c>
      <c r="D29">
        <f t="shared" si="0"/>
        <v>-0.95759987999999652</v>
      </c>
      <c r="E29">
        <f t="shared" si="1"/>
        <v>-0.43416000000000032</v>
      </c>
      <c r="F29">
        <f t="shared" si="2"/>
        <v>0.41575156390079882</v>
      </c>
      <c r="G29">
        <f t="shared" si="3"/>
        <v>0.91699753017600771</v>
      </c>
      <c r="H29">
        <f t="shared" si="4"/>
        <v>0.18849490560000029</v>
      </c>
    </row>
    <row r="30" spans="1:14" x14ac:dyDescent="0.3">
      <c r="A30" s="134">
        <v>43916</v>
      </c>
      <c r="B30" s="42">
        <v>19.209999</v>
      </c>
      <c r="C30" s="42">
        <v>6.2789999999999999</v>
      </c>
      <c r="D30">
        <f t="shared" si="0"/>
        <v>-0.47760087999999712</v>
      </c>
      <c r="E30">
        <f t="shared" si="1"/>
        <v>-0.45516000000000023</v>
      </c>
      <c r="F30">
        <f t="shared" si="2"/>
        <v>0.2173848165407988</v>
      </c>
      <c r="G30">
        <f t="shared" si="3"/>
        <v>0.22810260057677165</v>
      </c>
      <c r="H30">
        <f t="shared" si="4"/>
        <v>0.20717062560000021</v>
      </c>
      <c r="L30" t="s">
        <v>286</v>
      </c>
      <c r="N30">
        <f>AVERAGE(F8:F32)</f>
        <v>3.7076995779792008</v>
      </c>
    </row>
    <row r="31" spans="1:14" x14ac:dyDescent="0.3">
      <c r="A31" s="134">
        <v>43917</v>
      </c>
      <c r="B31" s="42">
        <v>18.02</v>
      </c>
      <c r="C31" s="42">
        <v>6.1550000000000002</v>
      </c>
      <c r="D31">
        <f t="shared" si="0"/>
        <v>-1.6675998799999974</v>
      </c>
      <c r="E31">
        <f t="shared" si="1"/>
        <v>-0.5791599999999999</v>
      </c>
      <c r="F31">
        <f t="shared" si="2"/>
        <v>0.96580714650079835</v>
      </c>
      <c r="G31">
        <f t="shared" si="3"/>
        <v>2.7808893597760056</v>
      </c>
      <c r="H31">
        <f t="shared" si="4"/>
        <v>0.33542630559999986</v>
      </c>
      <c r="L31" t="s">
        <v>289</v>
      </c>
      <c r="N31">
        <f>AVERAGE(G8:G32)</f>
        <v>16.930994294624266</v>
      </c>
    </row>
    <row r="32" spans="1:14" x14ac:dyDescent="0.3">
      <c r="A32" s="134">
        <v>43920</v>
      </c>
      <c r="B32" s="42">
        <v>19.139999</v>
      </c>
      <c r="C32" s="42">
        <v>6.3860000000000001</v>
      </c>
      <c r="D32">
        <f t="shared" si="0"/>
        <v>-0.5476008799999974</v>
      </c>
      <c r="E32">
        <f t="shared" si="1"/>
        <v>-0.34816000000000003</v>
      </c>
      <c r="F32">
        <f t="shared" si="2"/>
        <v>0.19065272238079911</v>
      </c>
      <c r="G32">
        <f t="shared" si="3"/>
        <v>0.29986672377677154</v>
      </c>
      <c r="H32">
        <f t="shared" si="4"/>
        <v>0.12121538560000002</v>
      </c>
      <c r="L32" t="s">
        <v>290</v>
      </c>
      <c r="N32">
        <f>AVERAGE(H8:H32)</f>
        <v>0.89707349440000006</v>
      </c>
    </row>
    <row r="33" spans="12:14" x14ac:dyDescent="0.3">
      <c r="L33" t="s">
        <v>291</v>
      </c>
      <c r="N33">
        <f>N30/SQRT(N31*N32)</f>
        <v>0.95136965150956621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3"/>
  <sheetViews>
    <sheetView workbookViewId="0">
      <selection sqref="A1:XFD10"/>
    </sheetView>
  </sheetViews>
  <sheetFormatPr defaultRowHeight="14.4" x14ac:dyDescent="0.3"/>
  <sheetData>
    <row r="1" spans="1:101" s="42" customFormat="1" x14ac:dyDescent="0.3">
      <c r="A1" s="42" t="s">
        <v>136</v>
      </c>
    </row>
    <row r="2" spans="1:101" s="42" customFormat="1" x14ac:dyDescent="0.3"/>
    <row r="3" spans="1:101" s="42" customFormat="1" x14ac:dyDescent="0.3">
      <c r="A3" s="42" t="s">
        <v>137</v>
      </c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  <c r="K3" s="42">
        <v>10</v>
      </c>
      <c r="L3" s="42">
        <v>11</v>
      </c>
      <c r="M3" s="42">
        <v>12</v>
      </c>
      <c r="N3" s="42">
        <v>13</v>
      </c>
      <c r="O3" s="42">
        <v>14</v>
      </c>
      <c r="P3" s="42">
        <v>15</v>
      </c>
      <c r="Q3" s="42">
        <v>16</v>
      </c>
      <c r="R3" s="42">
        <v>17</v>
      </c>
      <c r="S3" s="42">
        <v>18</v>
      </c>
      <c r="T3" s="42">
        <v>19</v>
      </c>
      <c r="U3" s="42">
        <v>20</v>
      </c>
      <c r="V3" s="42">
        <v>21</v>
      </c>
      <c r="W3" s="42">
        <v>22</v>
      </c>
      <c r="X3" s="42">
        <v>23</v>
      </c>
      <c r="Y3" s="42">
        <v>24</v>
      </c>
      <c r="Z3" s="42">
        <v>25</v>
      </c>
      <c r="AA3" s="42">
        <v>26</v>
      </c>
      <c r="AB3" s="42">
        <v>27</v>
      </c>
      <c r="AC3" s="42">
        <v>28</v>
      </c>
      <c r="AD3" s="42">
        <v>29</v>
      </c>
      <c r="AE3" s="42">
        <v>30</v>
      </c>
      <c r="AF3" s="42">
        <v>31</v>
      </c>
      <c r="AG3" s="42">
        <v>32</v>
      </c>
      <c r="AH3" s="42">
        <v>33</v>
      </c>
      <c r="AI3" s="42">
        <v>34</v>
      </c>
      <c r="AJ3" s="42">
        <v>35</v>
      </c>
      <c r="AK3" s="42">
        <v>36</v>
      </c>
      <c r="AL3" s="42">
        <v>37</v>
      </c>
      <c r="AM3" s="42">
        <v>38</v>
      </c>
      <c r="AN3" s="42">
        <v>39</v>
      </c>
      <c r="AO3" s="42">
        <v>40</v>
      </c>
      <c r="AP3" s="42">
        <v>41</v>
      </c>
      <c r="AQ3" s="42">
        <v>42</v>
      </c>
      <c r="AR3" s="42">
        <v>43</v>
      </c>
      <c r="AS3" s="42">
        <v>44</v>
      </c>
      <c r="AT3" s="42">
        <v>45</v>
      </c>
      <c r="AU3" s="42">
        <v>46</v>
      </c>
      <c r="AV3" s="42">
        <v>47</v>
      </c>
      <c r="AW3" s="42">
        <v>48</v>
      </c>
      <c r="AX3" s="42">
        <v>49</v>
      </c>
      <c r="AY3" s="42">
        <v>50</v>
      </c>
      <c r="AZ3" s="42">
        <v>51</v>
      </c>
      <c r="BA3" s="42">
        <v>52</v>
      </c>
      <c r="BB3" s="42">
        <v>53</v>
      </c>
      <c r="BC3" s="42">
        <v>54</v>
      </c>
      <c r="BD3" s="42">
        <v>55</v>
      </c>
      <c r="BE3" s="42">
        <v>56</v>
      </c>
      <c r="BF3" s="42">
        <v>57</v>
      </c>
      <c r="BG3" s="42">
        <v>58</v>
      </c>
      <c r="BH3" s="42">
        <v>59</v>
      </c>
      <c r="BI3" s="42">
        <v>60</v>
      </c>
      <c r="BJ3" s="42">
        <v>61</v>
      </c>
      <c r="BK3" s="42">
        <v>62</v>
      </c>
      <c r="BL3" s="42">
        <v>63</v>
      </c>
      <c r="BM3" s="42">
        <v>64</v>
      </c>
      <c r="BN3" s="42">
        <v>65</v>
      </c>
      <c r="BO3" s="42">
        <v>66</v>
      </c>
      <c r="BP3" s="42">
        <v>67</v>
      </c>
      <c r="BQ3" s="42">
        <v>68</v>
      </c>
      <c r="BR3" s="42">
        <v>69</v>
      </c>
      <c r="BS3" s="42">
        <v>70</v>
      </c>
      <c r="BT3" s="42">
        <v>71</v>
      </c>
      <c r="BU3" s="42">
        <v>72</v>
      </c>
      <c r="BV3" s="42">
        <v>73</v>
      </c>
      <c r="BW3" s="42">
        <v>74</v>
      </c>
      <c r="BX3" s="42">
        <v>75</v>
      </c>
      <c r="BY3" s="42">
        <v>76</v>
      </c>
      <c r="BZ3" s="42">
        <v>77</v>
      </c>
      <c r="CA3" s="42">
        <v>78</v>
      </c>
      <c r="CB3" s="42">
        <v>79</v>
      </c>
      <c r="CC3" s="42">
        <v>80</v>
      </c>
      <c r="CD3" s="42">
        <v>81</v>
      </c>
      <c r="CE3" s="42">
        <v>82</v>
      </c>
      <c r="CF3" s="42">
        <v>83</v>
      </c>
      <c r="CG3" s="42">
        <v>84</v>
      </c>
      <c r="CH3" s="42">
        <v>85</v>
      </c>
      <c r="CI3" s="42">
        <v>86</v>
      </c>
      <c r="CJ3" s="42">
        <v>87</v>
      </c>
      <c r="CK3" s="42">
        <v>88</v>
      </c>
      <c r="CL3" s="42">
        <v>89</v>
      </c>
      <c r="CM3" s="42">
        <v>90</v>
      </c>
      <c r="CN3" s="42">
        <v>91</v>
      </c>
      <c r="CO3" s="42">
        <v>92</v>
      </c>
      <c r="CP3" s="42">
        <v>93</v>
      </c>
      <c r="CQ3" s="42">
        <v>94</v>
      </c>
      <c r="CR3" s="42">
        <v>95</v>
      </c>
      <c r="CS3" s="42">
        <v>96</v>
      </c>
      <c r="CT3" s="42">
        <v>97</v>
      </c>
      <c r="CU3" s="42">
        <v>98</v>
      </c>
      <c r="CV3" s="42">
        <v>99</v>
      </c>
      <c r="CW3" s="42">
        <v>100</v>
      </c>
    </row>
    <row r="4" spans="1:101" s="42" customFormat="1" x14ac:dyDescent="0.3">
      <c r="A4" s="42" t="s">
        <v>138</v>
      </c>
      <c r="B4" s="42" t="s">
        <v>140</v>
      </c>
      <c r="C4" s="42" t="s">
        <v>140</v>
      </c>
      <c r="D4" s="42" t="s">
        <v>140</v>
      </c>
      <c r="E4" s="42" t="s">
        <v>140</v>
      </c>
      <c r="F4" s="42" t="s">
        <v>140</v>
      </c>
      <c r="G4" s="42" t="s">
        <v>140</v>
      </c>
      <c r="H4" s="42" t="s">
        <v>140</v>
      </c>
      <c r="I4" s="42" t="s">
        <v>140</v>
      </c>
      <c r="J4" s="42" t="s">
        <v>140</v>
      </c>
      <c r="K4" s="42" t="s">
        <v>140</v>
      </c>
      <c r="L4" s="42" t="s">
        <v>140</v>
      </c>
      <c r="M4" s="42" t="s">
        <v>140</v>
      </c>
      <c r="N4" s="42" t="s">
        <v>140</v>
      </c>
      <c r="O4" s="42" t="s">
        <v>140</v>
      </c>
      <c r="P4" s="42" t="s">
        <v>140</v>
      </c>
      <c r="Q4" s="42" t="s">
        <v>140</v>
      </c>
      <c r="R4" s="42" t="s">
        <v>140</v>
      </c>
      <c r="S4" s="42" t="s">
        <v>140</v>
      </c>
      <c r="T4" s="42" t="s">
        <v>140</v>
      </c>
      <c r="U4" s="42" t="s">
        <v>140</v>
      </c>
      <c r="V4" s="42" t="s">
        <v>140</v>
      </c>
      <c r="W4" s="42" t="s">
        <v>140</v>
      </c>
      <c r="X4" s="42" t="s">
        <v>140</v>
      </c>
      <c r="Y4" s="42" t="s">
        <v>140</v>
      </c>
      <c r="Z4" s="42" t="s">
        <v>140</v>
      </c>
      <c r="AA4" s="42" t="s">
        <v>140</v>
      </c>
      <c r="AB4" s="42" t="s">
        <v>140</v>
      </c>
      <c r="AC4" s="42" t="s">
        <v>140</v>
      </c>
      <c r="AD4" s="42" t="s">
        <v>140</v>
      </c>
      <c r="AE4" s="42" t="s">
        <v>140</v>
      </c>
      <c r="AF4" s="42" t="s">
        <v>140</v>
      </c>
      <c r="AG4" s="42" t="s">
        <v>140</v>
      </c>
      <c r="AH4" s="42" t="s">
        <v>140</v>
      </c>
      <c r="AI4" s="42" t="s">
        <v>140</v>
      </c>
      <c r="AJ4" s="42" t="s">
        <v>140</v>
      </c>
      <c r="AK4" s="42" t="s">
        <v>140</v>
      </c>
      <c r="AL4" s="42" t="s">
        <v>140</v>
      </c>
      <c r="AM4" s="42" t="s">
        <v>140</v>
      </c>
      <c r="AN4" s="42" t="s">
        <v>140</v>
      </c>
      <c r="AO4" s="42" t="s">
        <v>140</v>
      </c>
      <c r="AP4" s="42" t="s">
        <v>140</v>
      </c>
      <c r="AQ4" s="42" t="s">
        <v>140</v>
      </c>
      <c r="AR4" s="42" t="s">
        <v>140</v>
      </c>
      <c r="AS4" s="42" t="s">
        <v>140</v>
      </c>
      <c r="AT4" s="42" t="s">
        <v>140</v>
      </c>
      <c r="AU4" s="42" t="s">
        <v>140</v>
      </c>
      <c r="AV4" s="42" t="s">
        <v>140</v>
      </c>
      <c r="AW4" s="42" t="s">
        <v>140</v>
      </c>
      <c r="AX4" s="42" t="s">
        <v>140</v>
      </c>
      <c r="AY4" s="42" t="s">
        <v>140</v>
      </c>
      <c r="AZ4" s="42" t="s">
        <v>140</v>
      </c>
      <c r="BA4" s="42" t="s">
        <v>140</v>
      </c>
      <c r="BB4" s="42" t="s">
        <v>140</v>
      </c>
      <c r="BC4" s="42" t="s">
        <v>140</v>
      </c>
      <c r="BD4" s="42" t="s">
        <v>140</v>
      </c>
      <c r="BE4" s="42" t="s">
        <v>140</v>
      </c>
      <c r="BF4" s="42" t="s">
        <v>140</v>
      </c>
      <c r="BG4" s="42" t="s">
        <v>140</v>
      </c>
      <c r="BH4" s="42" t="s">
        <v>140</v>
      </c>
      <c r="BI4" s="42" t="s">
        <v>140</v>
      </c>
      <c r="BJ4" s="42" t="s">
        <v>139</v>
      </c>
      <c r="BK4" s="42" t="s">
        <v>139</v>
      </c>
      <c r="BL4" s="42" t="s">
        <v>139</v>
      </c>
      <c r="BM4" s="42" t="s">
        <v>139</v>
      </c>
      <c r="BN4" s="42" t="s">
        <v>139</v>
      </c>
      <c r="BO4" s="42" t="s">
        <v>139</v>
      </c>
      <c r="BP4" s="42" t="s">
        <v>139</v>
      </c>
      <c r="BQ4" s="42" t="s">
        <v>139</v>
      </c>
      <c r="BR4" s="42" t="s">
        <v>139</v>
      </c>
      <c r="BS4" s="42" t="s">
        <v>139</v>
      </c>
      <c r="BT4" s="42" t="s">
        <v>139</v>
      </c>
      <c r="BU4" s="42" t="s">
        <v>139</v>
      </c>
      <c r="BV4" s="42" t="s">
        <v>139</v>
      </c>
      <c r="BW4" s="42" t="s">
        <v>139</v>
      </c>
      <c r="BX4" s="42" t="s">
        <v>139</v>
      </c>
      <c r="BY4" s="42" t="s">
        <v>139</v>
      </c>
      <c r="BZ4" s="42" t="s">
        <v>139</v>
      </c>
      <c r="CA4" s="42" t="s">
        <v>139</v>
      </c>
      <c r="CB4" s="42" t="s">
        <v>139</v>
      </c>
      <c r="CC4" s="42" t="s">
        <v>139</v>
      </c>
      <c r="CD4" s="42" t="s">
        <v>139</v>
      </c>
      <c r="CE4" s="42" t="s">
        <v>139</v>
      </c>
      <c r="CF4" s="42" t="s">
        <v>139</v>
      </c>
      <c r="CG4" s="42" t="s">
        <v>139</v>
      </c>
      <c r="CH4" s="42" t="s">
        <v>139</v>
      </c>
      <c r="CI4" s="42" t="s">
        <v>139</v>
      </c>
      <c r="CJ4" s="42" t="s">
        <v>139</v>
      </c>
      <c r="CK4" s="42" t="s">
        <v>139</v>
      </c>
      <c r="CL4" s="42" t="s">
        <v>139</v>
      </c>
      <c r="CM4" s="42" t="s">
        <v>139</v>
      </c>
      <c r="CN4" s="42" t="s">
        <v>139</v>
      </c>
      <c r="CO4" s="42" t="s">
        <v>139</v>
      </c>
      <c r="CP4" s="42" t="s">
        <v>139</v>
      </c>
      <c r="CQ4" s="42" t="s">
        <v>139</v>
      </c>
      <c r="CR4" s="42" t="s">
        <v>139</v>
      </c>
      <c r="CS4" s="42" t="s">
        <v>139</v>
      </c>
      <c r="CT4" s="42" t="s">
        <v>139</v>
      </c>
      <c r="CU4" s="42" t="s">
        <v>139</v>
      </c>
      <c r="CV4" s="42" t="s">
        <v>139</v>
      </c>
      <c r="CW4" s="42" t="s">
        <v>139</v>
      </c>
    </row>
    <row r="5" spans="1:101" s="42" customFormat="1" x14ac:dyDescent="0.3">
      <c r="A5" s="42" t="s">
        <v>141</v>
      </c>
      <c r="B5" s="42" t="s">
        <v>142</v>
      </c>
      <c r="C5" s="42" t="s">
        <v>142</v>
      </c>
      <c r="D5" s="42" t="s">
        <v>143</v>
      </c>
      <c r="E5" s="42" t="s">
        <v>142</v>
      </c>
      <c r="F5" s="42" t="s">
        <v>142</v>
      </c>
      <c r="G5" s="42" t="s">
        <v>143</v>
      </c>
      <c r="H5" s="42" t="s">
        <v>143</v>
      </c>
      <c r="I5" s="42" t="s">
        <v>142</v>
      </c>
      <c r="J5" s="42" t="s">
        <v>142</v>
      </c>
      <c r="K5" s="42" t="s">
        <v>143</v>
      </c>
      <c r="L5" s="42" t="s">
        <v>142</v>
      </c>
      <c r="M5" s="42" t="s">
        <v>142</v>
      </c>
      <c r="N5" s="42" t="s">
        <v>143</v>
      </c>
      <c r="O5" s="42" t="s">
        <v>142</v>
      </c>
      <c r="P5" s="42" t="s">
        <v>142</v>
      </c>
      <c r="Q5" s="42" t="s">
        <v>142</v>
      </c>
      <c r="R5" s="42" t="s">
        <v>142</v>
      </c>
      <c r="S5" s="42" t="s">
        <v>143</v>
      </c>
      <c r="T5" s="42" t="s">
        <v>143</v>
      </c>
      <c r="U5" s="42" t="s">
        <v>143</v>
      </c>
      <c r="V5" s="42" t="s">
        <v>142</v>
      </c>
      <c r="W5" s="42" t="s">
        <v>142</v>
      </c>
      <c r="X5" s="42" t="s">
        <v>142</v>
      </c>
      <c r="Y5" s="42" t="s">
        <v>142</v>
      </c>
      <c r="Z5" s="42" t="s">
        <v>143</v>
      </c>
      <c r="AA5" s="42" t="s">
        <v>142</v>
      </c>
      <c r="AB5" s="42" t="s">
        <v>143</v>
      </c>
      <c r="AC5" s="42" t="s">
        <v>142</v>
      </c>
      <c r="AD5" s="42" t="s">
        <v>142</v>
      </c>
      <c r="AE5" s="42" t="s">
        <v>143</v>
      </c>
      <c r="AF5" s="42" t="s">
        <v>142</v>
      </c>
      <c r="AG5" s="42" t="s">
        <v>142</v>
      </c>
      <c r="AH5" s="42" t="s">
        <v>142</v>
      </c>
      <c r="AI5" s="42" t="s">
        <v>142</v>
      </c>
      <c r="AJ5" s="42" t="s">
        <v>143</v>
      </c>
      <c r="AK5" s="42" t="s">
        <v>142</v>
      </c>
      <c r="AL5" s="42" t="s">
        <v>143</v>
      </c>
      <c r="AM5" s="42" t="s">
        <v>142</v>
      </c>
      <c r="AN5" s="42" t="s">
        <v>142</v>
      </c>
      <c r="AO5" s="42" t="s">
        <v>142</v>
      </c>
      <c r="AP5" s="42" t="s">
        <v>142</v>
      </c>
      <c r="AQ5" s="42" t="s">
        <v>143</v>
      </c>
      <c r="AR5" s="42" t="s">
        <v>142</v>
      </c>
      <c r="AS5" s="42" t="s">
        <v>142</v>
      </c>
      <c r="AT5" s="42" t="s">
        <v>142</v>
      </c>
      <c r="AU5" s="42" t="s">
        <v>142</v>
      </c>
      <c r="AV5" s="42" t="s">
        <v>143</v>
      </c>
      <c r="AW5" s="42" t="s">
        <v>142</v>
      </c>
      <c r="AX5" s="42" t="s">
        <v>142</v>
      </c>
      <c r="AY5" s="42" t="s">
        <v>142</v>
      </c>
      <c r="AZ5" s="42" t="s">
        <v>142</v>
      </c>
      <c r="BA5" s="42" t="s">
        <v>142</v>
      </c>
      <c r="BB5" s="42" t="s">
        <v>142</v>
      </c>
      <c r="BC5" s="42" t="s">
        <v>143</v>
      </c>
      <c r="BD5" s="42" t="s">
        <v>143</v>
      </c>
      <c r="BE5" s="42" t="s">
        <v>142</v>
      </c>
      <c r="BF5" s="42" t="s">
        <v>142</v>
      </c>
      <c r="BG5" s="42" t="s">
        <v>143</v>
      </c>
      <c r="BH5" s="42" t="s">
        <v>142</v>
      </c>
      <c r="BI5" s="42" t="s">
        <v>142</v>
      </c>
      <c r="BJ5" s="42" t="s">
        <v>143</v>
      </c>
      <c r="BK5" s="42" t="s">
        <v>142</v>
      </c>
      <c r="BL5" s="42" t="s">
        <v>143</v>
      </c>
      <c r="BM5" s="42" t="s">
        <v>142</v>
      </c>
      <c r="BN5" s="42" t="s">
        <v>142</v>
      </c>
      <c r="BO5" s="42" t="s">
        <v>142</v>
      </c>
      <c r="BP5" s="42" t="s">
        <v>142</v>
      </c>
      <c r="BQ5" s="42" t="s">
        <v>143</v>
      </c>
      <c r="BR5" s="42" t="s">
        <v>143</v>
      </c>
      <c r="BS5" s="42" t="s">
        <v>142</v>
      </c>
      <c r="BT5" s="42" t="s">
        <v>143</v>
      </c>
      <c r="BU5" s="42" t="s">
        <v>143</v>
      </c>
      <c r="BV5" s="42" t="s">
        <v>142</v>
      </c>
      <c r="BW5" s="42" t="s">
        <v>143</v>
      </c>
      <c r="BX5" s="42" t="s">
        <v>143</v>
      </c>
      <c r="BY5" s="42" t="s">
        <v>142</v>
      </c>
      <c r="BZ5" s="42" t="s">
        <v>142</v>
      </c>
      <c r="CA5" s="42" t="s">
        <v>142</v>
      </c>
      <c r="CB5" s="42" t="s">
        <v>142</v>
      </c>
      <c r="CC5" s="42" t="s">
        <v>142</v>
      </c>
      <c r="CD5" s="42" t="s">
        <v>142</v>
      </c>
      <c r="CE5" s="42" t="s">
        <v>142</v>
      </c>
      <c r="CF5" s="42" t="s">
        <v>143</v>
      </c>
      <c r="CG5" s="42" t="s">
        <v>142</v>
      </c>
      <c r="CH5" s="42" t="s">
        <v>142</v>
      </c>
      <c r="CI5" s="42" t="s">
        <v>143</v>
      </c>
      <c r="CJ5" s="42" t="s">
        <v>142</v>
      </c>
      <c r="CK5" s="42" t="s">
        <v>142</v>
      </c>
      <c r="CL5" s="42" t="s">
        <v>142</v>
      </c>
      <c r="CM5" s="42" t="s">
        <v>142</v>
      </c>
      <c r="CN5" s="42" t="s">
        <v>143</v>
      </c>
      <c r="CO5" s="42" t="s">
        <v>142</v>
      </c>
      <c r="CP5" s="42" t="s">
        <v>143</v>
      </c>
      <c r="CQ5" s="42" t="s">
        <v>143</v>
      </c>
      <c r="CR5" s="42" t="s">
        <v>142</v>
      </c>
      <c r="CS5" s="42" t="s">
        <v>142</v>
      </c>
      <c r="CT5" s="42" t="s">
        <v>143</v>
      </c>
      <c r="CU5" s="42" t="s">
        <v>142</v>
      </c>
      <c r="CV5" s="42" t="s">
        <v>142</v>
      </c>
      <c r="CW5" s="42" t="s">
        <v>143</v>
      </c>
    </row>
    <row r="6" spans="1:101" s="42" customFormat="1" x14ac:dyDescent="0.3"/>
    <row r="7" spans="1:101" s="42" customFormat="1" x14ac:dyDescent="0.3">
      <c r="A7" s="42" t="s">
        <v>144</v>
      </c>
    </row>
    <row r="8" spans="1:101" s="42" customFormat="1" x14ac:dyDescent="0.3">
      <c r="A8" s="42" t="s">
        <v>145</v>
      </c>
    </row>
    <row r="9" spans="1:101" s="42" customFormat="1" x14ac:dyDescent="0.3">
      <c r="A9" s="42" t="s">
        <v>146</v>
      </c>
    </row>
    <row r="10" spans="1:101" s="42" customFormat="1" x14ac:dyDescent="0.3">
      <c r="A10" s="42" t="s">
        <v>147</v>
      </c>
    </row>
    <row r="13" spans="1:101" x14ac:dyDescent="0.3">
      <c r="A13" t="s">
        <v>32</v>
      </c>
    </row>
    <row r="15" spans="1:101" x14ac:dyDescent="0.3">
      <c r="B15" t="s">
        <v>143</v>
      </c>
      <c r="C15" t="s">
        <v>142</v>
      </c>
      <c r="D15" t="s">
        <v>92</v>
      </c>
    </row>
    <row r="16" spans="1:101" x14ac:dyDescent="0.3">
      <c r="A16" t="s">
        <v>139</v>
      </c>
      <c r="B16">
        <f>COUNTIFS($B$4:$CW$4,$A16,$B$5:$CW$5,B$15)</f>
        <v>15</v>
      </c>
      <c r="C16">
        <f>COUNTIFS($B$4:$CW$4,$A16,$B$5:$CW$5,C$15)</f>
        <v>25</v>
      </c>
      <c r="D16">
        <v>40</v>
      </c>
    </row>
    <row r="17" spans="1:5" x14ac:dyDescent="0.3">
      <c r="A17" t="s">
        <v>140</v>
      </c>
      <c r="B17">
        <f>COUNTIFS($B$4:$CW$4,$A17,$B$5:$CW$5,B$15)</f>
        <v>18</v>
      </c>
      <c r="C17">
        <f>COUNTIFS($B$4:$CW$4,$A17,$B$5:$CW$5,C$15)</f>
        <v>42</v>
      </c>
      <c r="D17">
        <v>60</v>
      </c>
    </row>
    <row r="18" spans="1:5" x14ac:dyDescent="0.3">
      <c r="A18" t="s">
        <v>92</v>
      </c>
      <c r="B18">
        <f>SUM(B16:B17)</f>
        <v>33</v>
      </c>
      <c r="C18">
        <f t="shared" ref="C18:D18" si="0">SUM(C16:C17)</f>
        <v>67</v>
      </c>
      <c r="D18">
        <f t="shared" si="0"/>
        <v>100</v>
      </c>
    </row>
    <row r="20" spans="1:5" x14ac:dyDescent="0.3">
      <c r="A20" t="s">
        <v>34</v>
      </c>
    </row>
    <row r="21" spans="1:5" x14ac:dyDescent="0.3">
      <c r="A21" t="s">
        <v>89</v>
      </c>
      <c r="E21">
        <f>B16/D16*100</f>
        <v>37.5</v>
      </c>
    </row>
    <row r="22" spans="1:5" x14ac:dyDescent="0.3">
      <c r="A22" t="s">
        <v>90</v>
      </c>
      <c r="E22">
        <f>B17/D17*100</f>
        <v>30</v>
      </c>
    </row>
    <row r="24" spans="1:5" x14ac:dyDescent="0.3">
      <c r="A24" t="s">
        <v>36</v>
      </c>
    </row>
    <row r="25" spans="1:5" x14ac:dyDescent="0.3">
      <c r="A25" t="s">
        <v>91</v>
      </c>
    </row>
    <row r="27" spans="1:5" x14ac:dyDescent="0.3">
      <c r="A27" t="s">
        <v>57</v>
      </c>
    </row>
    <row r="28" spans="1:5" x14ac:dyDescent="0.3">
      <c r="A28" t="s">
        <v>30</v>
      </c>
    </row>
    <row r="30" spans="1:5" x14ac:dyDescent="0.3">
      <c r="B30" t="s">
        <v>8</v>
      </c>
      <c r="C30" t="s">
        <v>9</v>
      </c>
      <c r="D30" t="s">
        <v>92</v>
      </c>
    </row>
    <row r="31" spans="1:5" x14ac:dyDescent="0.3">
      <c r="A31" t="s">
        <v>6</v>
      </c>
      <c r="B31">
        <f>$D16*B$18/$D$18</f>
        <v>13.2</v>
      </c>
      <c r="C31">
        <f>$D16*C$18/$D$18</f>
        <v>26.8</v>
      </c>
      <c r="D31">
        <f>SUM(B31:C31)</f>
        <v>40</v>
      </c>
    </row>
    <row r="32" spans="1:5" x14ac:dyDescent="0.3">
      <c r="A32" t="s">
        <v>7</v>
      </c>
      <c r="B32">
        <f>$D17*B$18/$D$18</f>
        <v>19.8</v>
      </c>
      <c r="C32">
        <f>$D17*C$18/$D$18</f>
        <v>40.200000000000003</v>
      </c>
      <c r="D32">
        <f>SUM(B32:C32)</f>
        <v>60</v>
      </c>
    </row>
    <row r="33" spans="1:5" x14ac:dyDescent="0.3">
      <c r="A33" t="s">
        <v>92</v>
      </c>
      <c r="B33">
        <f>SUM(B31:B32)</f>
        <v>33</v>
      </c>
      <c r="C33">
        <f t="shared" ref="C33" si="1">SUM(C31:C32)</f>
        <v>67</v>
      </c>
      <c r="D33">
        <f t="shared" ref="D33" si="2">SUM(D31:D32)</f>
        <v>100</v>
      </c>
    </row>
    <row r="35" spans="1:5" x14ac:dyDescent="0.3">
      <c r="A35" t="s">
        <v>93</v>
      </c>
    </row>
    <row r="37" spans="1:5" x14ac:dyDescent="0.3">
      <c r="B37" t="s">
        <v>8</v>
      </c>
      <c r="C37" t="s">
        <v>9</v>
      </c>
      <c r="D37" t="s">
        <v>92</v>
      </c>
    </row>
    <row r="38" spans="1:5" x14ac:dyDescent="0.3">
      <c r="A38" t="s">
        <v>6</v>
      </c>
      <c r="B38">
        <f>(B16-B31)^2/B31</f>
        <v>0.24545454545454565</v>
      </c>
      <c r="C38">
        <f>(C16-C31)^2/C31</f>
        <v>0.12089552238805978</v>
      </c>
      <c r="D38">
        <f>SUM(B38:C38)</f>
        <v>0.36635006784260543</v>
      </c>
    </row>
    <row r="39" spans="1:5" x14ac:dyDescent="0.3">
      <c r="A39" t="s">
        <v>7</v>
      </c>
      <c r="B39">
        <f>(B17-B32)^2/B32</f>
        <v>0.16363636363636375</v>
      </c>
      <c r="C39">
        <f>(C17-C32)^2/C32</f>
        <v>8.059701492537287E-2</v>
      </c>
      <c r="D39">
        <f>SUM(B39:C39)</f>
        <v>0.2442333785617366</v>
      </c>
    </row>
    <row r="40" spans="1:5" x14ac:dyDescent="0.3">
      <c r="A40" t="s">
        <v>92</v>
      </c>
      <c r="B40">
        <f>SUM(B38:B39)</f>
        <v>0.40909090909090939</v>
      </c>
      <c r="C40">
        <f t="shared" ref="C40" si="3">SUM(C38:C39)</f>
        <v>0.20149253731343264</v>
      </c>
      <c r="D40">
        <f t="shared" ref="D40" si="4">SUM(D38:D39)</f>
        <v>0.61058344640434203</v>
      </c>
    </row>
    <row r="42" spans="1:5" x14ac:dyDescent="0.3">
      <c r="A42" t="s">
        <v>37</v>
      </c>
      <c r="C42">
        <f>D40</f>
        <v>0.61058344640434203</v>
      </c>
    </row>
    <row r="43" spans="1:5" x14ac:dyDescent="0.3">
      <c r="A43" t="s">
        <v>94</v>
      </c>
      <c r="C43">
        <f>SQRT(C42/D18/1)</f>
        <v>7.8139839160593486E-2</v>
      </c>
      <c r="E4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A9" sqref="A9:C13"/>
    </sheetView>
  </sheetViews>
  <sheetFormatPr defaultColWidth="9.109375" defaultRowHeight="15" x14ac:dyDescent="0.25"/>
  <cols>
    <col min="1" max="1" width="17.88671875" style="87" customWidth="1"/>
    <col min="2" max="2" width="8.88671875" style="87" customWidth="1"/>
    <col min="3" max="3" width="9.109375" style="87"/>
    <col min="4" max="4" width="10.6640625" style="87" customWidth="1"/>
    <col min="5" max="5" width="17.5546875" style="87" customWidth="1"/>
    <col min="6" max="6" width="12.6640625" style="87" customWidth="1"/>
    <col min="7" max="7" width="16.6640625" style="87" customWidth="1"/>
    <col min="8" max="16384" width="9.109375" style="87"/>
  </cols>
  <sheetData>
    <row r="1" spans="1:5" ht="15.6" x14ac:dyDescent="0.3">
      <c r="A1" s="102" t="s">
        <v>198</v>
      </c>
      <c r="B1" s="102"/>
      <c r="C1" s="102"/>
      <c r="D1" s="102"/>
    </row>
    <row r="2" spans="1:5" ht="15.6" x14ac:dyDescent="0.3">
      <c r="A2" s="102" t="s">
        <v>199</v>
      </c>
      <c r="B2" s="102"/>
      <c r="C2" s="102"/>
      <c r="D2" s="102"/>
    </row>
    <row r="3" spans="1:5" ht="15.6" x14ac:dyDescent="0.3">
      <c r="A3" s="102" t="s">
        <v>200</v>
      </c>
      <c r="B3" s="103"/>
      <c r="C3" s="104"/>
      <c r="D3" s="102"/>
      <c r="E3" s="102"/>
    </row>
    <row r="4" spans="1:5" ht="15.6" x14ac:dyDescent="0.3">
      <c r="A4" s="102" t="s">
        <v>201</v>
      </c>
      <c r="B4" s="103"/>
      <c r="C4" s="104"/>
      <c r="D4" s="102"/>
      <c r="E4" s="102"/>
    </row>
    <row r="5" spans="1:5" ht="15.6" x14ac:dyDescent="0.3">
      <c r="A5" s="102" t="s">
        <v>202</v>
      </c>
      <c r="B5" s="103"/>
      <c r="C5" s="104"/>
      <c r="D5" s="102"/>
      <c r="E5" s="102"/>
    </row>
    <row r="6" spans="1:5" ht="15.6" x14ac:dyDescent="0.3">
      <c r="A6" s="105" t="s">
        <v>203</v>
      </c>
      <c r="B6" s="103"/>
      <c r="C6" s="106"/>
      <c r="D6" s="92"/>
      <c r="E6" s="92"/>
    </row>
    <row r="7" spans="1:5" ht="15.6" x14ac:dyDescent="0.3">
      <c r="A7" s="105"/>
      <c r="B7" s="103"/>
      <c r="C7" s="106"/>
      <c r="D7" s="92"/>
      <c r="E7" s="92"/>
    </row>
    <row r="8" spans="1:5" x14ac:dyDescent="0.25">
      <c r="A8" s="107"/>
    </row>
    <row r="9" spans="1:5" ht="15.6" x14ac:dyDescent="0.3">
      <c r="A9" s="120"/>
      <c r="B9" s="121" t="s">
        <v>204</v>
      </c>
      <c r="C9" s="122"/>
    </row>
    <row r="10" spans="1:5" ht="15.6" x14ac:dyDescent="0.3">
      <c r="A10" s="120" t="s">
        <v>205</v>
      </c>
      <c r="B10" s="120" t="s">
        <v>206</v>
      </c>
      <c r="C10" s="120" t="s">
        <v>207</v>
      </c>
    </row>
    <row r="11" spans="1:5" ht="15.6" x14ac:dyDescent="0.3">
      <c r="A11" s="120" t="s">
        <v>208</v>
      </c>
      <c r="B11" s="120">
        <v>98</v>
      </c>
      <c r="C11" s="120">
        <v>23</v>
      </c>
      <c r="D11" s="87">
        <f>SUM(B11:C11)</f>
        <v>121</v>
      </c>
    </row>
    <row r="12" spans="1:5" ht="15.6" x14ac:dyDescent="0.3">
      <c r="A12" s="120" t="s">
        <v>209</v>
      </c>
      <c r="B12" s="120">
        <v>115</v>
      </c>
      <c r="C12" s="120">
        <f>33</f>
        <v>33</v>
      </c>
      <c r="D12" s="87">
        <f t="shared" ref="D12:D13" si="0">SUM(B12:C12)</f>
        <v>148</v>
      </c>
    </row>
    <row r="13" spans="1:5" ht="15.6" x14ac:dyDescent="0.3">
      <c r="A13" s="120" t="s">
        <v>210</v>
      </c>
      <c r="B13" s="120">
        <v>77</v>
      </c>
      <c r="C13" s="120">
        <v>3</v>
      </c>
      <c r="D13" s="87">
        <f t="shared" si="0"/>
        <v>80</v>
      </c>
    </row>
    <row r="14" spans="1:5" x14ac:dyDescent="0.25">
      <c r="A14" s="108"/>
      <c r="B14" s="87">
        <f t="shared" ref="B14:C14" si="1">SUM(B11:B13)</f>
        <v>290</v>
      </c>
      <c r="C14" s="87">
        <f t="shared" si="1"/>
        <v>59</v>
      </c>
      <c r="D14" s="87">
        <f>SUM(D11:D13)</f>
        <v>349</v>
      </c>
    </row>
    <row r="15" spans="1:5" x14ac:dyDescent="0.25">
      <c r="A15" s="108"/>
    </row>
    <row r="16" spans="1:5" x14ac:dyDescent="0.25">
      <c r="A16" s="107" t="s">
        <v>32</v>
      </c>
      <c r="B16" s="123" t="s">
        <v>204</v>
      </c>
      <c r="C16" s="124"/>
    </row>
    <row r="17" spans="1:4" x14ac:dyDescent="0.25">
      <c r="A17" s="107" t="s">
        <v>205</v>
      </c>
      <c r="B17" s="87" t="s">
        <v>206</v>
      </c>
      <c r="C17" s="87" t="s">
        <v>207</v>
      </c>
    </row>
    <row r="18" spans="1:4" x14ac:dyDescent="0.25">
      <c r="A18" s="87" t="s">
        <v>208</v>
      </c>
      <c r="B18" s="87">
        <f>B11/$D11</f>
        <v>0.80991735537190079</v>
      </c>
      <c r="C18" s="87">
        <f>C11/$D11</f>
        <v>0.19008264462809918</v>
      </c>
      <c r="D18" s="87">
        <f>SUM(B18:C18)</f>
        <v>1</v>
      </c>
    </row>
    <row r="19" spans="1:4" x14ac:dyDescent="0.25">
      <c r="A19" s="87" t="s">
        <v>209</v>
      </c>
      <c r="B19" s="87">
        <f t="shared" ref="B19:C20" si="2">B12/$D12</f>
        <v>0.77702702702702697</v>
      </c>
      <c r="C19" s="87">
        <f t="shared" si="2"/>
        <v>0.22297297297297297</v>
      </c>
      <c r="D19" s="87">
        <f t="shared" ref="D19:D20" si="3">SUM(B19:C19)</f>
        <v>1</v>
      </c>
    </row>
    <row r="20" spans="1:4" x14ac:dyDescent="0.25">
      <c r="A20" s="87" t="s">
        <v>210</v>
      </c>
      <c r="B20" s="87">
        <f t="shared" si="2"/>
        <v>0.96250000000000002</v>
      </c>
      <c r="C20" s="87">
        <f t="shared" si="2"/>
        <v>3.7499999999999999E-2</v>
      </c>
      <c r="D20" s="87">
        <f t="shared" si="3"/>
        <v>1</v>
      </c>
    </row>
    <row r="22" spans="1:4" x14ac:dyDescent="0.25">
      <c r="A22" s="108" t="s">
        <v>34</v>
      </c>
    </row>
    <row r="28" spans="1:4" x14ac:dyDescent="0.25">
      <c r="A28" s="108"/>
    </row>
    <row r="29" spans="1:4" x14ac:dyDescent="0.25">
      <c r="A29" s="108" t="s">
        <v>36</v>
      </c>
    </row>
    <row r="30" spans="1:4" x14ac:dyDescent="0.25">
      <c r="A30" s="108" t="s">
        <v>211</v>
      </c>
    </row>
    <row r="31" spans="1:4" x14ac:dyDescent="0.25">
      <c r="A31" s="108"/>
    </row>
    <row r="32" spans="1:4" x14ac:dyDescent="0.25">
      <c r="A32" s="107" t="s">
        <v>57</v>
      </c>
      <c r="B32" s="123" t="s">
        <v>204</v>
      </c>
      <c r="C32" s="124"/>
    </row>
    <row r="33" spans="1:5" x14ac:dyDescent="0.25">
      <c r="A33" s="107" t="s">
        <v>205</v>
      </c>
      <c r="B33" s="87" t="s">
        <v>206</v>
      </c>
      <c r="C33" s="87" t="s">
        <v>207</v>
      </c>
    </row>
    <row r="34" spans="1:5" x14ac:dyDescent="0.25">
      <c r="A34" s="87" t="s">
        <v>208</v>
      </c>
      <c r="B34" s="87">
        <f>$D11*B$14/$D$14</f>
        <v>100.54441260744986</v>
      </c>
      <c r="C34" s="87">
        <f>$D11*C$14/$D$14</f>
        <v>20.455587392550143</v>
      </c>
      <c r="D34" s="87">
        <f>SUM(B34:C34)</f>
        <v>121</v>
      </c>
      <c r="E34" s="109"/>
    </row>
    <row r="35" spans="1:5" x14ac:dyDescent="0.25">
      <c r="A35" s="87" t="s">
        <v>209</v>
      </c>
      <c r="B35" s="87">
        <f t="shared" ref="B35:C36" si="4">$D12*B$14/$D$14</f>
        <v>122.97994269340974</v>
      </c>
      <c r="C35" s="87">
        <f t="shared" si="4"/>
        <v>25.020057306590257</v>
      </c>
      <c r="D35" s="87">
        <f t="shared" ref="D35:D36" si="5">SUM(B35:C35)</f>
        <v>148</v>
      </c>
    </row>
    <row r="36" spans="1:5" x14ac:dyDescent="0.25">
      <c r="A36" s="87" t="s">
        <v>210</v>
      </c>
      <c r="B36" s="87">
        <f t="shared" si="4"/>
        <v>66.475644699140403</v>
      </c>
      <c r="C36" s="87">
        <f t="shared" si="4"/>
        <v>13.524355300859598</v>
      </c>
      <c r="D36" s="87">
        <f t="shared" si="5"/>
        <v>80</v>
      </c>
    </row>
    <row r="37" spans="1:5" x14ac:dyDescent="0.25">
      <c r="A37" s="108"/>
      <c r="B37" s="87">
        <f t="shared" ref="B37" si="6">SUM(B34:B36)</f>
        <v>290</v>
      </c>
      <c r="C37" s="87">
        <f t="shared" ref="C37" si="7">SUM(C34:C36)</f>
        <v>59</v>
      </c>
      <c r="D37" s="87">
        <f>SUM(D34:D36)</f>
        <v>349</v>
      </c>
    </row>
    <row r="39" spans="1:5" x14ac:dyDescent="0.25">
      <c r="A39" s="107"/>
      <c r="B39" s="123" t="s">
        <v>204</v>
      </c>
      <c r="C39" s="124"/>
    </row>
    <row r="40" spans="1:5" x14ac:dyDescent="0.25">
      <c r="A40" s="107" t="s">
        <v>205</v>
      </c>
      <c r="B40" s="87" t="s">
        <v>206</v>
      </c>
      <c r="C40" s="87" t="s">
        <v>207</v>
      </c>
    </row>
    <row r="41" spans="1:5" x14ac:dyDescent="0.25">
      <c r="A41" s="87" t="s">
        <v>208</v>
      </c>
      <c r="B41" s="87">
        <f>(B11-B34)^2/B34</f>
        <v>6.4389808931760412E-2</v>
      </c>
      <c r="C41" s="87">
        <f>(C11-C34)^2/C34</f>
        <v>0.31649228119000883</v>
      </c>
      <c r="D41" s="87">
        <f>SUM(B41:C41)</f>
        <v>0.38088209012176921</v>
      </c>
    </row>
    <row r="42" spans="1:5" x14ac:dyDescent="0.25">
      <c r="A42" s="87" t="s">
        <v>209</v>
      </c>
      <c r="B42" s="87">
        <f t="shared" ref="B42:C43" si="8">(B12-B35)^2/B35</f>
        <v>0.51780383040880984</v>
      </c>
      <c r="C42" s="87">
        <f t="shared" si="8"/>
        <v>2.5451374715009321</v>
      </c>
      <c r="D42" s="87">
        <f t="shared" ref="D42:D43" si="9">SUM(B42:C42)</f>
        <v>3.062941301909742</v>
      </c>
    </row>
    <row r="43" spans="1:5" x14ac:dyDescent="0.25">
      <c r="A43" s="87" t="s">
        <v>210</v>
      </c>
      <c r="B43" s="87">
        <f t="shared" si="8"/>
        <v>1.6662050439679865</v>
      </c>
      <c r="C43" s="87">
        <f t="shared" si="8"/>
        <v>8.1898214025545144</v>
      </c>
      <c r="D43" s="87">
        <f t="shared" si="9"/>
        <v>9.8560264465225007</v>
      </c>
    </row>
    <row r="44" spans="1:5" x14ac:dyDescent="0.25">
      <c r="A44" s="108"/>
      <c r="B44" s="87">
        <f t="shared" ref="B44" si="10">SUM(B41:B43)</f>
        <v>2.2483986833085567</v>
      </c>
      <c r="C44" s="87">
        <f t="shared" ref="C44" si="11">SUM(C41:C43)</f>
        <v>11.051451155245456</v>
      </c>
      <c r="D44" s="87">
        <f>SUM(D41:D43)</f>
        <v>13.299849838554012</v>
      </c>
    </row>
    <row r="46" spans="1:5" x14ac:dyDescent="0.25">
      <c r="A46" s="108" t="s">
        <v>212</v>
      </c>
      <c r="B46" s="87">
        <f>D44</f>
        <v>13.299849838554012</v>
      </c>
    </row>
    <row r="47" spans="1:5" x14ac:dyDescent="0.25">
      <c r="A47" s="108" t="s">
        <v>213</v>
      </c>
      <c r="B47" s="87">
        <f>SQRT(B46/D37/1)</f>
        <v>0.19521386287727385</v>
      </c>
      <c r="D47" s="87" t="s">
        <v>214</v>
      </c>
    </row>
  </sheetData>
  <mergeCells count="4">
    <mergeCell ref="B9:C9"/>
    <mergeCell ref="B16:C16"/>
    <mergeCell ref="B32:C32"/>
    <mergeCell ref="B39:C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ColWidth="9.109375" defaultRowHeight="14.4" x14ac:dyDescent="0.3"/>
  <cols>
    <col min="1" max="1" width="17.88671875" style="88" customWidth="1"/>
    <col min="2" max="16384" width="9.109375" style="88"/>
  </cols>
  <sheetData>
    <row r="1" spans="1:6" x14ac:dyDescent="0.3">
      <c r="A1" s="86" t="s">
        <v>215</v>
      </c>
      <c r="B1" s="86"/>
      <c r="C1" s="86"/>
      <c r="D1" s="86"/>
      <c r="E1" s="86"/>
      <c r="F1" s="86"/>
    </row>
    <row r="2" spans="1:6" x14ac:dyDescent="0.3">
      <c r="A2" s="86" t="s">
        <v>216</v>
      </c>
      <c r="B2" s="86"/>
      <c r="C2" s="86"/>
      <c r="D2" s="86"/>
      <c r="E2" s="86"/>
      <c r="F2" s="86"/>
    </row>
    <row r="3" spans="1:6" x14ac:dyDescent="0.3">
      <c r="A3" s="86"/>
      <c r="B3" s="86"/>
      <c r="C3" s="86"/>
      <c r="D3" s="86"/>
      <c r="E3" s="86"/>
      <c r="F3" s="86"/>
    </row>
    <row r="4" spans="1:6" x14ac:dyDescent="0.3">
      <c r="A4" s="86"/>
      <c r="B4" s="86"/>
      <c r="C4" s="86"/>
      <c r="D4" s="86"/>
      <c r="E4" s="86"/>
      <c r="F4" s="86"/>
    </row>
    <row r="5" spans="1:6" x14ac:dyDescent="0.3">
      <c r="A5" s="86"/>
      <c r="B5" s="86"/>
      <c r="C5" s="125" t="s">
        <v>217</v>
      </c>
      <c r="D5" s="125"/>
      <c r="E5" s="125"/>
      <c r="F5" s="86"/>
    </row>
    <row r="6" spans="1:6" ht="12.75" customHeight="1" x14ac:dyDescent="0.3">
      <c r="A6" s="86"/>
      <c r="B6" s="86"/>
      <c r="C6" s="110" t="s">
        <v>218</v>
      </c>
      <c r="D6" s="111" t="s">
        <v>219</v>
      </c>
      <c r="E6" s="111" t="s">
        <v>220</v>
      </c>
      <c r="F6" s="112"/>
    </row>
    <row r="7" spans="1:6" ht="16.5" customHeight="1" x14ac:dyDescent="0.3">
      <c r="A7" s="126"/>
      <c r="B7" s="91" t="s">
        <v>221</v>
      </c>
      <c r="C7" s="112">
        <v>77</v>
      </c>
      <c r="D7" s="91">
        <v>98</v>
      </c>
      <c r="E7" s="91">
        <v>46</v>
      </c>
      <c r="F7" s="113">
        <f>SUM(C7:E7)</f>
        <v>221</v>
      </c>
    </row>
    <row r="8" spans="1:6" ht="18.75" customHeight="1" x14ac:dyDescent="0.3">
      <c r="A8" s="126"/>
      <c r="B8" s="90" t="s">
        <v>222</v>
      </c>
      <c r="C8" s="114">
        <v>11</v>
      </c>
      <c r="D8" s="90">
        <v>67</v>
      </c>
      <c r="E8" s="115">
        <v>96</v>
      </c>
      <c r="F8" s="116">
        <f>SUM(C8:E8)</f>
        <v>174</v>
      </c>
    </row>
    <row r="9" spans="1:6" x14ac:dyDescent="0.3">
      <c r="A9" s="86"/>
      <c r="B9" s="86"/>
      <c r="C9" s="112">
        <f>SUM(C7:C8)</f>
        <v>88</v>
      </c>
      <c r="D9" s="112">
        <f>SUM(D7:D8)</f>
        <v>165</v>
      </c>
      <c r="E9" s="112">
        <f>SUM(E7:E8)</f>
        <v>142</v>
      </c>
      <c r="F9" s="112">
        <f>SUM(F7:F8)</f>
        <v>395</v>
      </c>
    </row>
    <row r="10" spans="1:6" x14ac:dyDescent="0.3">
      <c r="A10" s="86"/>
      <c r="B10" s="86"/>
      <c r="C10" s="86"/>
      <c r="D10" s="86"/>
      <c r="E10" s="86"/>
      <c r="F10" s="86"/>
    </row>
    <row r="11" spans="1:6" x14ac:dyDescent="0.3">
      <c r="A11" s="86" t="s">
        <v>223</v>
      </c>
      <c r="B11" s="86"/>
      <c r="C11" s="86"/>
      <c r="D11" s="86"/>
      <c r="E11" s="86"/>
      <c r="F11" s="86"/>
    </row>
    <row r="12" spans="1:6" x14ac:dyDescent="0.3">
      <c r="A12" s="86" t="s">
        <v>224</v>
      </c>
      <c r="B12" s="86"/>
      <c r="C12" s="86"/>
      <c r="D12" s="86"/>
      <c r="E12" s="86"/>
      <c r="F12" s="86"/>
    </row>
    <row r="13" spans="1:6" x14ac:dyDescent="0.3">
      <c r="A13" s="117" t="s">
        <v>225</v>
      </c>
      <c r="B13" s="86"/>
      <c r="C13" s="86"/>
      <c r="D13" s="86"/>
      <c r="E13" s="86"/>
      <c r="F13" s="86"/>
    </row>
    <row r="14" spans="1:6" x14ac:dyDescent="0.3">
      <c r="A14" s="86" t="s">
        <v>226</v>
      </c>
      <c r="B14" s="86"/>
      <c r="C14" s="86"/>
      <c r="D14" s="86"/>
      <c r="E14" s="86"/>
      <c r="F14" s="86"/>
    </row>
    <row r="15" spans="1:6" x14ac:dyDescent="0.3">
      <c r="A15" s="86"/>
      <c r="B15" s="86"/>
      <c r="C15" s="86"/>
      <c r="D15" s="86"/>
      <c r="E15" s="86"/>
      <c r="F15" s="86"/>
    </row>
    <row r="16" spans="1:6" x14ac:dyDescent="0.3">
      <c r="A16" s="98" t="s">
        <v>32</v>
      </c>
      <c r="B16" s="86"/>
      <c r="C16" s="86"/>
      <c r="D16" s="86"/>
      <c r="E16" s="86"/>
      <c r="F16" s="86"/>
    </row>
    <row r="17" spans="1:6" x14ac:dyDescent="0.3">
      <c r="A17" s="98" t="s">
        <v>227</v>
      </c>
      <c r="B17">
        <v>1100</v>
      </c>
      <c r="C17">
        <f>3300/2</f>
        <v>1650</v>
      </c>
      <c r="D17">
        <f>7000/2</f>
        <v>3500</v>
      </c>
      <c r="E17"/>
      <c r="F17" s="86"/>
    </row>
    <row r="18" spans="1:6" x14ac:dyDescent="0.3">
      <c r="A18" s="98" t="s">
        <v>228</v>
      </c>
      <c r="B18"/>
      <c r="C18"/>
      <c r="D18"/>
      <c r="E18"/>
      <c r="F18" s="86"/>
    </row>
    <row r="19" spans="1:6" x14ac:dyDescent="0.3">
      <c r="A19"/>
      <c r="B19">
        <f>(B$17*C7+C$17*D7+D$17*E7)/F7</f>
        <v>1843.4389140271494</v>
      </c>
      <c r="C19"/>
      <c r="D19"/>
      <c r="E19"/>
      <c r="F19" s="86"/>
    </row>
    <row r="20" spans="1:6" x14ac:dyDescent="0.3">
      <c r="A20"/>
      <c r="B20">
        <f>(B$17*C8+C$17*D8+D$17*E8)/F8</f>
        <v>2635.9195402298851</v>
      </c>
      <c r="C20"/>
      <c r="D20"/>
      <c r="E20"/>
      <c r="F20" s="86"/>
    </row>
    <row r="21" spans="1:6" x14ac:dyDescent="0.3">
      <c r="A21"/>
      <c r="B21"/>
      <c r="C21"/>
      <c r="D21"/>
      <c r="E21"/>
      <c r="F21" s="86"/>
    </row>
    <row r="22" spans="1:6" x14ac:dyDescent="0.3">
      <c r="A22" s="98" t="s">
        <v>229</v>
      </c>
      <c r="B22"/>
      <c r="C22"/>
    </row>
    <row r="24" spans="1:6" x14ac:dyDescent="0.3">
      <c r="A24" s="99" t="s">
        <v>36</v>
      </c>
    </row>
    <row r="25" spans="1:6" x14ac:dyDescent="0.3">
      <c r="A25" t="s">
        <v>230</v>
      </c>
      <c r="B25">
        <f>(B$17*C9+C$17*D9+D$17*E9)/F9</f>
        <v>2192.5316455696202</v>
      </c>
    </row>
    <row r="26" spans="1:6" x14ac:dyDescent="0.3">
      <c r="A26"/>
      <c r="B26"/>
    </row>
    <row r="27" spans="1:6" x14ac:dyDescent="0.3">
      <c r="A27" t="s">
        <v>231</v>
      </c>
      <c r="B27">
        <f>((B17-B25)^2*C9+(C17-B25)^2*D9+(D17-B25)^2*E9)/F9</f>
        <v>1003418.9072264062</v>
      </c>
      <c r="C27"/>
      <c r="D27"/>
      <c r="E27"/>
      <c r="F27" s="86"/>
    </row>
    <row r="28" spans="1:6" x14ac:dyDescent="0.3">
      <c r="A28" s="100"/>
      <c r="D28"/>
      <c r="E28"/>
      <c r="F28" s="86"/>
    </row>
    <row r="29" spans="1:6" x14ac:dyDescent="0.3">
      <c r="A29" s="98" t="s">
        <v>232</v>
      </c>
      <c r="B29"/>
      <c r="C29">
        <f>((B19-B25)^2*F7+(B20-B25)^2*F8)/F9</f>
        <v>154783.49127981719</v>
      </c>
      <c r="D29"/>
      <c r="E29"/>
      <c r="F29" s="86"/>
    </row>
    <row r="30" spans="1:6" x14ac:dyDescent="0.3">
      <c r="A30" s="118" t="s">
        <v>233</v>
      </c>
      <c r="B30">
        <f>C29/B27</f>
        <v>0.15425610397123268</v>
      </c>
      <c r="C30"/>
      <c r="D30" s="98" t="s">
        <v>234</v>
      </c>
      <c r="E30"/>
      <c r="F30" s="86"/>
    </row>
    <row r="31" spans="1:6" x14ac:dyDescent="0.3">
      <c r="A31" s="119"/>
      <c r="B31" s="99"/>
      <c r="C31" s="99"/>
      <c r="D31" s="99"/>
      <c r="E31" s="99"/>
    </row>
    <row r="32" spans="1:6" x14ac:dyDescent="0.3">
      <c r="A32" s="99" t="s">
        <v>57</v>
      </c>
    </row>
    <row r="33" spans="1:5" x14ac:dyDescent="0.3">
      <c r="A33" s="99" t="s">
        <v>235</v>
      </c>
    </row>
    <row r="38" spans="1:5" x14ac:dyDescent="0.3">
      <c r="A38" s="99"/>
      <c r="B38" s="99"/>
      <c r="C38" s="127"/>
      <c r="D38" s="127"/>
      <c r="E38" s="127"/>
    </row>
    <row r="39" spans="1:5" x14ac:dyDescent="0.3">
      <c r="A39" s="99"/>
      <c r="B39" s="99"/>
      <c r="C39" s="99"/>
      <c r="D39" s="99"/>
      <c r="E39" s="99"/>
    </row>
    <row r="40" spans="1:5" ht="12.75" customHeight="1" x14ac:dyDescent="0.3">
      <c r="A40" s="128"/>
      <c r="B40" s="99"/>
      <c r="C40" s="99"/>
      <c r="D40" s="99"/>
      <c r="E40" s="99"/>
    </row>
    <row r="41" spans="1:5" x14ac:dyDescent="0.3">
      <c r="A41" s="128"/>
      <c r="B41" s="99"/>
      <c r="C41" s="99"/>
      <c r="D41" s="99"/>
      <c r="E41" s="99"/>
    </row>
    <row r="42" spans="1:5" x14ac:dyDescent="0.3">
      <c r="A42" s="99"/>
    </row>
  </sheetData>
  <mergeCells count="4">
    <mergeCell ref="C5:E5"/>
    <mergeCell ref="A7:A8"/>
    <mergeCell ref="C38:E38"/>
    <mergeCell ref="A40:A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14" sqref="A14"/>
    </sheetView>
  </sheetViews>
  <sheetFormatPr defaultRowHeight="14.4" x14ac:dyDescent="0.3"/>
  <cols>
    <col min="2" max="3" width="12.6640625" bestFit="1" customWidth="1"/>
    <col min="5" max="5" width="12.6640625" bestFit="1" customWidth="1"/>
  </cols>
  <sheetData>
    <row r="1" spans="1:6" x14ac:dyDescent="0.3">
      <c r="A1" s="42" t="s">
        <v>148</v>
      </c>
      <c r="B1" s="42"/>
      <c r="C1" s="42"/>
      <c r="D1" s="42"/>
      <c r="E1" s="42"/>
      <c r="F1" s="42"/>
    </row>
    <row r="2" spans="1:6" x14ac:dyDescent="0.3">
      <c r="A2" s="42"/>
      <c r="B2" s="42"/>
      <c r="C2" s="42"/>
      <c r="D2" s="42"/>
      <c r="E2" s="42"/>
      <c r="F2" s="42"/>
    </row>
    <row r="3" spans="1:6" x14ac:dyDescent="0.3">
      <c r="A3" s="42"/>
      <c r="B3" s="42"/>
      <c r="C3" s="42"/>
      <c r="D3" s="42"/>
      <c r="E3" s="42"/>
      <c r="F3" s="42"/>
    </row>
    <row r="4" spans="1:6" ht="15" thickBot="1" x14ac:dyDescent="0.35">
      <c r="A4" s="42"/>
      <c r="B4" s="42"/>
      <c r="C4" s="42"/>
      <c r="D4" s="42"/>
      <c r="E4" s="42"/>
      <c r="F4" s="42"/>
    </row>
    <row r="5" spans="1:6" ht="31.8" thickBot="1" x14ac:dyDescent="0.35">
      <c r="A5" s="62" t="s">
        <v>22</v>
      </c>
      <c r="B5" s="63" t="s">
        <v>23</v>
      </c>
      <c r="C5" s="64" t="s">
        <v>24</v>
      </c>
      <c r="D5" s="62" t="s">
        <v>25</v>
      </c>
      <c r="E5" s="63" t="s">
        <v>5</v>
      </c>
      <c r="F5" s="42"/>
    </row>
    <row r="6" spans="1:6" ht="16.2" thickBot="1" x14ac:dyDescent="0.35">
      <c r="A6" s="65" t="s">
        <v>26</v>
      </c>
      <c r="B6" s="67">
        <v>45</v>
      </c>
      <c r="C6" s="68">
        <v>20</v>
      </c>
      <c r="D6" s="65">
        <v>0</v>
      </c>
      <c r="E6" s="67">
        <v>65</v>
      </c>
      <c r="F6" s="42"/>
    </row>
    <row r="7" spans="1:6" ht="16.2" thickBot="1" x14ac:dyDescent="0.35">
      <c r="A7" s="66" t="s">
        <v>27</v>
      </c>
      <c r="B7" s="69">
        <v>20</v>
      </c>
      <c r="C7" s="70">
        <v>35</v>
      </c>
      <c r="D7" s="66">
        <v>20</v>
      </c>
      <c r="E7" s="69">
        <v>75</v>
      </c>
      <c r="F7" s="42"/>
    </row>
    <row r="8" spans="1:6" ht="16.2" thickBot="1" x14ac:dyDescent="0.35">
      <c r="A8" s="62" t="s">
        <v>28</v>
      </c>
      <c r="B8" s="63">
        <v>5</v>
      </c>
      <c r="C8" s="64">
        <v>10</v>
      </c>
      <c r="D8" s="62">
        <v>35</v>
      </c>
      <c r="E8" s="63">
        <v>50</v>
      </c>
      <c r="F8" s="42"/>
    </row>
    <row r="9" spans="1:6" ht="16.2" thickBot="1" x14ac:dyDescent="0.35">
      <c r="A9" s="65" t="s">
        <v>5</v>
      </c>
      <c r="B9" s="67">
        <v>70</v>
      </c>
      <c r="C9" s="68">
        <v>65</v>
      </c>
      <c r="D9" s="65">
        <v>55</v>
      </c>
      <c r="E9" s="67">
        <v>190</v>
      </c>
      <c r="F9" s="42"/>
    </row>
    <row r="10" spans="1:6" x14ac:dyDescent="0.3">
      <c r="A10" s="42"/>
      <c r="B10" s="42"/>
      <c r="C10" s="42"/>
      <c r="D10" s="42"/>
      <c r="E10" s="42"/>
      <c r="F10" s="42"/>
    </row>
    <row r="11" spans="1:6" x14ac:dyDescent="0.3">
      <c r="A11" s="42" t="s">
        <v>149</v>
      </c>
      <c r="B11" s="42"/>
      <c r="C11" s="42"/>
      <c r="D11" s="42"/>
      <c r="E11" s="42"/>
      <c r="F11" s="42"/>
    </row>
    <row r="12" spans="1:6" x14ac:dyDescent="0.3">
      <c r="A12" s="42" t="s">
        <v>150</v>
      </c>
      <c r="B12" s="42"/>
      <c r="C12" s="42"/>
      <c r="D12" s="42"/>
      <c r="E12" s="42"/>
      <c r="F12" s="42"/>
    </row>
    <row r="13" spans="1:6" x14ac:dyDescent="0.3">
      <c r="A13" s="42" t="s">
        <v>154</v>
      </c>
      <c r="B13" s="42"/>
      <c r="C13" s="42"/>
      <c r="D13" s="42"/>
      <c r="E13" s="42"/>
      <c r="F13" s="42"/>
    </row>
    <row r="14" spans="1:6" x14ac:dyDescent="0.3">
      <c r="A14" s="42" t="s">
        <v>151</v>
      </c>
      <c r="B14" s="42"/>
      <c r="C14" s="42"/>
      <c r="D14" s="42"/>
      <c r="E14" s="42"/>
      <c r="F14" s="42"/>
    </row>
    <row r="15" spans="1:6" x14ac:dyDescent="0.3">
      <c r="A15" s="42" t="s">
        <v>152</v>
      </c>
      <c r="B15" s="42"/>
      <c r="C15" s="42"/>
      <c r="D15" s="42"/>
      <c r="E15" s="42"/>
      <c r="F15" s="42"/>
    </row>
    <row r="16" spans="1:6" x14ac:dyDescent="0.3">
      <c r="A16" s="42" t="s">
        <v>153</v>
      </c>
      <c r="B16" s="42"/>
      <c r="C16" s="42"/>
      <c r="D16" s="42"/>
      <c r="E16" s="42"/>
      <c r="F16" s="42"/>
    </row>
    <row r="19" spans="1:5" ht="15.6" x14ac:dyDescent="0.3">
      <c r="A19" s="36" t="s">
        <v>32</v>
      </c>
    </row>
    <row r="20" spans="1:5" ht="15" thickBot="1" x14ac:dyDescent="0.35"/>
    <row r="21" spans="1:5" ht="31.8" thickBot="1" x14ac:dyDescent="0.35">
      <c r="A21" s="28" t="s">
        <v>22</v>
      </c>
      <c r="B21" s="29" t="s">
        <v>70</v>
      </c>
      <c r="C21" s="29" t="s">
        <v>73</v>
      </c>
      <c r="D21" s="29" t="s">
        <v>74</v>
      </c>
      <c r="E21" s="29" t="s">
        <v>5</v>
      </c>
    </row>
    <row r="22" spans="1:5" ht="16.2" thickBot="1" x14ac:dyDescent="0.35">
      <c r="A22" s="30">
        <v>1</v>
      </c>
      <c r="B22" s="31">
        <f>B6*$A22</f>
        <v>45</v>
      </c>
      <c r="C22" s="31">
        <f>C6*$A22</f>
        <v>20</v>
      </c>
      <c r="D22" s="31">
        <f>D6*$A22</f>
        <v>0</v>
      </c>
      <c r="E22" s="31">
        <f>E6*$A22</f>
        <v>65</v>
      </c>
    </row>
    <row r="23" spans="1:5" ht="16.2" thickBot="1" x14ac:dyDescent="0.35">
      <c r="A23" s="32">
        <v>3.5</v>
      </c>
      <c r="B23" s="31">
        <f>B7*$A23</f>
        <v>70</v>
      </c>
      <c r="C23" s="31">
        <f>C7*$A23</f>
        <v>122.5</v>
      </c>
      <c r="D23" s="31">
        <f t="shared" ref="D23:E23" si="0">D7*$A23</f>
        <v>70</v>
      </c>
      <c r="E23" s="31">
        <f t="shared" si="0"/>
        <v>262.5</v>
      </c>
    </row>
    <row r="24" spans="1:5" ht="16.2" thickBot="1" x14ac:dyDescent="0.35">
      <c r="A24" s="28">
        <v>6</v>
      </c>
      <c r="B24" s="31">
        <f>B8*$A24</f>
        <v>30</v>
      </c>
      <c r="C24" s="31">
        <f>C8*$A24</f>
        <v>60</v>
      </c>
      <c r="D24" s="31">
        <f t="shared" ref="D24:E24" si="1">D8*$A24</f>
        <v>210</v>
      </c>
      <c r="E24" s="31">
        <f t="shared" si="1"/>
        <v>300</v>
      </c>
    </row>
    <row r="25" spans="1:5" ht="16.2" thickBot="1" x14ac:dyDescent="0.35">
      <c r="A25" s="30" t="s">
        <v>5</v>
      </c>
      <c r="B25" s="31">
        <f>SUM(B22:B24)</f>
        <v>145</v>
      </c>
      <c r="C25" s="31">
        <f t="shared" ref="C25:E25" si="2">SUM(C22:C24)</f>
        <v>202.5</v>
      </c>
      <c r="D25" s="31">
        <f t="shared" si="2"/>
        <v>280</v>
      </c>
      <c r="E25" s="31">
        <f t="shared" si="2"/>
        <v>627.5</v>
      </c>
    </row>
    <row r="27" spans="1:5" x14ac:dyDescent="0.3">
      <c r="A27" t="s">
        <v>71</v>
      </c>
      <c r="B27">
        <f>B25/B9</f>
        <v>2.0714285714285716</v>
      </c>
      <c r="C27">
        <f t="shared" ref="C27:E27" si="3">C25/C9</f>
        <v>3.1153846153846154</v>
      </c>
      <c r="D27">
        <f t="shared" si="3"/>
        <v>5.0909090909090908</v>
      </c>
      <c r="E27">
        <f t="shared" si="3"/>
        <v>3.3026315789473686</v>
      </c>
    </row>
    <row r="29" spans="1:5" x14ac:dyDescent="0.3">
      <c r="A29" t="s">
        <v>44</v>
      </c>
    </row>
    <row r="30" spans="1:5" x14ac:dyDescent="0.3">
      <c r="A30" t="s">
        <v>72</v>
      </c>
    </row>
    <row r="32" spans="1:5" x14ac:dyDescent="0.3">
      <c r="A32" t="s">
        <v>36</v>
      </c>
    </row>
    <row r="33" spans="1:5" x14ac:dyDescent="0.3">
      <c r="A33" t="s">
        <v>75</v>
      </c>
    </row>
    <row r="35" spans="1:5" x14ac:dyDescent="0.3">
      <c r="A35" t="s">
        <v>57</v>
      </c>
    </row>
    <row r="36" spans="1:5" x14ac:dyDescent="0.3">
      <c r="A36" t="s">
        <v>76</v>
      </c>
      <c r="E36">
        <f>((B27-E27)^2*B9+(C27-E27)^2*C9+(D27-E27)^2*D9)/E9</f>
        <v>1.4961881954610481</v>
      </c>
    </row>
    <row r="38" spans="1:5" x14ac:dyDescent="0.3">
      <c r="A38" t="s">
        <v>77</v>
      </c>
      <c r="C38">
        <f>((A22-E27)^2*E6+(A23-E27)^2*E7+(A24-E27)^2*E8)/E9</f>
        <v>3.7439404432132966</v>
      </c>
    </row>
    <row r="40" spans="1:5" x14ac:dyDescent="0.3">
      <c r="A40" t="s">
        <v>78</v>
      </c>
      <c r="B40">
        <f>E36/C38</f>
        <v>0.39962927246164226</v>
      </c>
    </row>
    <row r="42" spans="1:5" x14ac:dyDescent="0.3">
      <c r="A42" t="s">
        <v>59</v>
      </c>
    </row>
    <row r="43" spans="1:5" x14ac:dyDescent="0.3">
      <c r="A43" t="s">
        <v>79</v>
      </c>
    </row>
    <row r="44" spans="1:5" x14ac:dyDescent="0.3">
      <c r="A44" t="s">
        <v>80</v>
      </c>
    </row>
    <row r="45" spans="1:5" x14ac:dyDescent="0.3">
      <c r="A45" t="s">
        <v>81</v>
      </c>
    </row>
    <row r="47" spans="1:5" ht="15" thickBot="1" x14ac:dyDescent="0.35">
      <c r="A47" t="s">
        <v>64</v>
      </c>
    </row>
    <row r="48" spans="1:5" ht="47.4" thickBot="1" x14ac:dyDescent="0.35">
      <c r="A48" s="28" t="s">
        <v>22</v>
      </c>
      <c r="B48" s="29" t="s">
        <v>82</v>
      </c>
      <c r="C48" s="29" t="s">
        <v>84</v>
      </c>
      <c r="D48" s="29" t="s">
        <v>83</v>
      </c>
      <c r="E48" s="29" t="s">
        <v>5</v>
      </c>
    </row>
    <row r="49" spans="1:9" ht="16.2" thickBot="1" x14ac:dyDescent="0.35">
      <c r="A49" s="30">
        <v>1</v>
      </c>
      <c r="B49" s="31">
        <f t="shared" ref="B49:C51" si="4">($A49-B$27)^2*B6</f>
        <v>51.658163265306136</v>
      </c>
      <c r="C49" s="31">
        <f t="shared" si="4"/>
        <v>89.497041420118336</v>
      </c>
      <c r="D49" s="31">
        <f t="shared" ref="D49:E49" si="5">($A49-D$27)^2*D6</f>
        <v>0</v>
      </c>
      <c r="E49" s="31">
        <f t="shared" si="5"/>
        <v>344.63729224376738</v>
      </c>
    </row>
    <row r="50" spans="1:9" ht="16.2" thickBot="1" x14ac:dyDescent="0.35">
      <c r="A50" s="32">
        <v>3.5</v>
      </c>
      <c r="B50" s="31">
        <f t="shared" si="4"/>
        <v>40.816326530612237</v>
      </c>
      <c r="C50" s="31">
        <f t="shared" si="4"/>
        <v>5.1775147928994079</v>
      </c>
      <c r="D50" s="31">
        <f>($A50-D$27)^2*D7</f>
        <v>50.619834710743802</v>
      </c>
      <c r="E50" s="31">
        <f>($A50-E$27)^2*E7</f>
        <v>2.9215720221606598</v>
      </c>
    </row>
    <row r="51" spans="1:9" ht="16.2" thickBot="1" x14ac:dyDescent="0.35">
      <c r="A51" s="28">
        <v>6</v>
      </c>
      <c r="B51" s="31">
        <f t="shared" si="4"/>
        <v>77.168367346938766</v>
      </c>
      <c r="C51" s="31">
        <f t="shared" si="4"/>
        <v>83.210059171597635</v>
      </c>
      <c r="D51" s="31">
        <f>($A51-D$27)^2*D8</f>
        <v>28.925619834710748</v>
      </c>
      <c r="E51" s="31">
        <f>($A51-E$27)^2*E8</f>
        <v>363.78981994459832</v>
      </c>
    </row>
    <row r="52" spans="1:9" ht="16.2" thickBot="1" x14ac:dyDescent="0.35">
      <c r="A52" s="30" t="s">
        <v>5</v>
      </c>
      <c r="B52" s="31">
        <f>SUM(B49:B51)</f>
        <v>169.64285714285714</v>
      </c>
      <c r="C52" s="31">
        <f t="shared" ref="C52" si="6">SUM(C49:C51)</f>
        <v>177.88461538461536</v>
      </c>
      <c r="D52" s="31">
        <f t="shared" ref="D52" si="7">SUM(D49:D51)</f>
        <v>79.545454545454547</v>
      </c>
      <c r="E52" s="31">
        <f>SUM(E49:E51)</f>
        <v>711.34868421052636</v>
      </c>
    </row>
    <row r="54" spans="1:9" x14ac:dyDescent="0.3">
      <c r="A54" t="s">
        <v>85</v>
      </c>
      <c r="B54">
        <f>B52/B9</f>
        <v>2.4234693877551021</v>
      </c>
      <c r="C54">
        <f t="shared" ref="C54:E54" si="8">C52/C9</f>
        <v>2.7366863905325438</v>
      </c>
      <c r="D54">
        <f t="shared" si="8"/>
        <v>1.4462809917355373</v>
      </c>
      <c r="E54">
        <f t="shared" si="8"/>
        <v>3.7439404432132966</v>
      </c>
    </row>
    <row r="56" spans="1:9" x14ac:dyDescent="0.3">
      <c r="A56" t="s">
        <v>86</v>
      </c>
      <c r="D56">
        <f>SUM(B52:D52)/E9</f>
        <v>2.2477522477522474</v>
      </c>
    </row>
    <row r="58" spans="1:9" x14ac:dyDescent="0.3">
      <c r="A58" t="s">
        <v>87</v>
      </c>
      <c r="G58">
        <f>D56+E36</f>
        <v>3.7439404432132957</v>
      </c>
      <c r="I58" s="37" t="s">
        <v>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11" sqref="C11"/>
    </sheetView>
  </sheetViews>
  <sheetFormatPr defaultRowHeight="14.4" x14ac:dyDescent="0.3"/>
  <cols>
    <col min="1" max="2" width="9" bestFit="1" customWidth="1"/>
    <col min="3" max="4" width="12.6640625" bestFit="1" customWidth="1"/>
    <col min="5" max="5" width="12.21875" customWidth="1"/>
    <col min="6" max="7" width="9" bestFit="1" customWidth="1"/>
  </cols>
  <sheetData>
    <row r="1" spans="1:7" x14ac:dyDescent="0.3">
      <c r="A1" s="42" t="s">
        <v>163</v>
      </c>
      <c r="B1" s="42"/>
      <c r="C1" s="42"/>
      <c r="D1" s="42"/>
      <c r="E1" s="42"/>
      <c r="F1" s="42"/>
      <c r="G1" s="42"/>
    </row>
    <row r="2" spans="1:7" x14ac:dyDescent="0.3">
      <c r="A2" s="42" t="s">
        <v>164</v>
      </c>
      <c r="B2" s="42"/>
      <c r="C2" s="42"/>
      <c r="D2" s="42"/>
      <c r="E2" s="42"/>
      <c r="F2" s="42"/>
      <c r="G2" s="42"/>
    </row>
    <row r="3" spans="1:7" x14ac:dyDescent="0.3">
      <c r="A3" s="42" t="s">
        <v>165</v>
      </c>
      <c r="B3" s="42"/>
      <c r="C3" s="42"/>
      <c r="D3" s="42"/>
      <c r="E3" s="42"/>
      <c r="F3" s="42"/>
      <c r="G3" s="42"/>
    </row>
    <row r="4" spans="1:7" ht="15" thickBot="1" x14ac:dyDescent="0.35">
      <c r="A4" s="42"/>
      <c r="B4" s="42"/>
      <c r="C4" s="42"/>
      <c r="D4" s="42"/>
      <c r="E4" s="42"/>
      <c r="F4" s="42"/>
      <c r="G4" s="42"/>
    </row>
    <row r="5" spans="1:7" ht="47.4" thickBot="1" x14ac:dyDescent="0.35">
      <c r="A5" s="71" t="s">
        <v>97</v>
      </c>
      <c r="B5" s="72" t="s">
        <v>98</v>
      </c>
      <c r="C5" s="42" t="s">
        <v>101</v>
      </c>
      <c r="D5" s="42" t="s">
        <v>102</v>
      </c>
      <c r="E5" s="42" t="s">
        <v>103</v>
      </c>
      <c r="F5" s="42" t="s">
        <v>104</v>
      </c>
      <c r="G5" s="42" t="s">
        <v>105</v>
      </c>
    </row>
    <row r="6" spans="1:7" ht="16.2" thickBot="1" x14ac:dyDescent="0.35">
      <c r="A6" s="73">
        <v>29</v>
      </c>
      <c r="B6" s="74">
        <v>13.5</v>
      </c>
      <c r="C6" s="42">
        <f>A6-B$20</f>
        <v>-1.6000000000000014</v>
      </c>
      <c r="D6" s="42">
        <f>B6-B$21</f>
        <v>-0.30000000000000071</v>
      </c>
      <c r="E6" s="42">
        <f>C6*D6</f>
        <v>0.48000000000000154</v>
      </c>
      <c r="F6" s="42">
        <f>C6^2</f>
        <v>2.5600000000000045</v>
      </c>
      <c r="G6" s="42">
        <f>D6^2</f>
        <v>9.0000000000000427E-2</v>
      </c>
    </row>
    <row r="7" spans="1:7" ht="16.2" thickBot="1" x14ac:dyDescent="0.35">
      <c r="A7" s="75">
        <v>31</v>
      </c>
      <c r="B7" s="76">
        <v>13.9</v>
      </c>
      <c r="C7" s="42">
        <f>A7-B$20</f>
        <v>0.39999999999999858</v>
      </c>
      <c r="D7" s="42">
        <f>B7-B$21</f>
        <v>9.9999999999999645E-2</v>
      </c>
      <c r="E7" s="42">
        <f t="shared" ref="E7:E10" si="0">C7*D7</f>
        <v>3.9999999999999716E-2</v>
      </c>
      <c r="F7" s="42">
        <f t="shared" ref="F7:F10" si="1">C7^2</f>
        <v>0.15999999999999887</v>
      </c>
      <c r="G7" s="42">
        <f t="shared" ref="G7:G10" si="2">D7^2</f>
        <v>9.9999999999999291E-3</v>
      </c>
    </row>
    <row r="8" spans="1:7" ht="16.2" thickBot="1" x14ac:dyDescent="0.35">
      <c r="A8" s="75">
        <v>33</v>
      </c>
      <c r="B8" s="76">
        <v>14.2</v>
      </c>
      <c r="C8" s="42">
        <f>A8-B$20</f>
        <v>2.3999999999999986</v>
      </c>
      <c r="D8" s="42">
        <f>B8-B$21</f>
        <v>0.39999999999999858</v>
      </c>
      <c r="E8" s="42">
        <f t="shared" si="0"/>
        <v>0.95999999999999597</v>
      </c>
      <c r="F8" s="42">
        <f t="shared" si="1"/>
        <v>5.7599999999999936</v>
      </c>
      <c r="G8" s="42">
        <f t="shared" si="2"/>
        <v>0.15999999999999887</v>
      </c>
    </row>
    <row r="9" spans="1:7" ht="16.2" thickBot="1" x14ac:dyDescent="0.35">
      <c r="A9" s="75">
        <v>28</v>
      </c>
      <c r="B9" s="76">
        <v>13.6</v>
      </c>
      <c r="C9" s="42">
        <f>A9-B$20</f>
        <v>-2.6000000000000014</v>
      </c>
      <c r="D9" s="42">
        <f>B9-B$21</f>
        <v>-0.20000000000000107</v>
      </c>
      <c r="E9" s="42">
        <f t="shared" si="0"/>
        <v>0.52000000000000302</v>
      </c>
      <c r="F9" s="42">
        <f t="shared" si="1"/>
        <v>6.7600000000000078</v>
      </c>
      <c r="G9" s="42">
        <f t="shared" si="2"/>
        <v>4.0000000000000424E-2</v>
      </c>
    </row>
    <row r="10" spans="1:7" ht="16.2" thickBot="1" x14ac:dyDescent="0.35">
      <c r="A10" s="75">
        <v>32</v>
      </c>
      <c r="B10" s="76">
        <v>13.8</v>
      </c>
      <c r="C10" s="42">
        <f>A10-B$20</f>
        <v>1.3999999999999986</v>
      </c>
      <c r="D10" s="42">
        <f>B10-B$21</f>
        <v>0</v>
      </c>
      <c r="E10" s="42">
        <f t="shared" si="0"/>
        <v>0</v>
      </c>
      <c r="F10" s="42">
        <f t="shared" si="1"/>
        <v>1.959999999999996</v>
      </c>
      <c r="G10" s="42">
        <f t="shared" si="2"/>
        <v>0</v>
      </c>
    </row>
    <row r="11" spans="1:7" x14ac:dyDescent="0.3">
      <c r="A11" s="42">
        <f>SUM(A6:A10)</f>
        <v>153</v>
      </c>
      <c r="B11" s="42">
        <f>SUM(B6:B10)</f>
        <v>69</v>
      </c>
      <c r="C11" s="42">
        <f t="shared" ref="C11:G11" si="3">SUM(C6:C10)</f>
        <v>-7.1054273576010019E-15</v>
      </c>
      <c r="D11" s="42">
        <f t="shared" si="3"/>
        <v>-3.5527136788005009E-15</v>
      </c>
      <c r="E11" s="42">
        <f t="shared" si="3"/>
        <v>2.0000000000000004</v>
      </c>
      <c r="F11" s="42">
        <f t="shared" si="3"/>
        <v>17.200000000000003</v>
      </c>
      <c r="G11" s="42">
        <f t="shared" si="3"/>
        <v>0.29999999999999966</v>
      </c>
    </row>
    <row r="12" spans="1:7" x14ac:dyDescent="0.3">
      <c r="A12" s="42"/>
      <c r="B12" s="42"/>
      <c r="C12" s="42"/>
      <c r="D12" s="42"/>
      <c r="E12" s="42"/>
      <c r="F12" s="42"/>
      <c r="G12" s="42"/>
    </row>
    <row r="13" spans="1:7" x14ac:dyDescent="0.3">
      <c r="A13" s="42" t="s">
        <v>166</v>
      </c>
      <c r="B13" s="42"/>
      <c r="C13" s="42"/>
      <c r="D13" s="42"/>
      <c r="E13" s="42"/>
      <c r="F13" s="42"/>
      <c r="G13" s="42"/>
    </row>
    <row r="14" spans="1:7" x14ac:dyDescent="0.3">
      <c r="A14" s="42" t="s">
        <v>167</v>
      </c>
      <c r="B14" s="42"/>
      <c r="C14" s="42"/>
      <c r="D14" s="42"/>
      <c r="E14" s="42"/>
      <c r="F14" s="42"/>
      <c r="G14" s="42"/>
    </row>
    <row r="15" spans="1:7" x14ac:dyDescent="0.3">
      <c r="A15" s="42" t="s">
        <v>168</v>
      </c>
      <c r="B15" s="42"/>
      <c r="C15" s="42"/>
      <c r="D15" s="42"/>
      <c r="E15" s="42"/>
      <c r="F15" s="42"/>
      <c r="G15" s="42"/>
    </row>
    <row r="17" spans="1:4" x14ac:dyDescent="0.3">
      <c r="A17" t="s">
        <v>96</v>
      </c>
    </row>
    <row r="19" spans="1:4" x14ac:dyDescent="0.3">
      <c r="A19" t="s">
        <v>34</v>
      </c>
    </row>
    <row r="20" spans="1:4" x14ac:dyDescent="0.3">
      <c r="A20" t="s">
        <v>99</v>
      </c>
      <c r="B20">
        <f>A11/5</f>
        <v>30.6</v>
      </c>
    </row>
    <row r="21" spans="1:4" x14ac:dyDescent="0.3">
      <c r="A21" t="s">
        <v>100</v>
      </c>
      <c r="B21">
        <f>B11/5</f>
        <v>13.8</v>
      </c>
    </row>
    <row r="23" spans="1:4" x14ac:dyDescent="0.3">
      <c r="A23" t="s">
        <v>55</v>
      </c>
      <c r="B23">
        <f>E11/SQRT(F11*G11)</f>
        <v>0.88045090632562439</v>
      </c>
      <c r="D23" t="s">
        <v>106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sqref="A1:B16"/>
    </sheetView>
  </sheetViews>
  <sheetFormatPr defaultRowHeight="14.4" x14ac:dyDescent="0.3"/>
  <cols>
    <col min="1" max="1" width="14.109375" customWidth="1"/>
    <col min="2" max="2" width="10.77734375" customWidth="1"/>
    <col min="3" max="3" width="11.109375" customWidth="1"/>
    <col min="4" max="4" width="10.109375" customWidth="1"/>
    <col min="5" max="5" width="18.109375" customWidth="1"/>
    <col min="6" max="6" width="11.33203125" customWidth="1"/>
    <col min="7" max="7" width="12.88671875" customWidth="1"/>
  </cols>
  <sheetData>
    <row r="1" spans="1:2" x14ac:dyDescent="0.3">
      <c r="A1" s="42" t="s">
        <v>155</v>
      </c>
      <c r="B1" s="42"/>
    </row>
    <row r="2" spans="1:2" x14ac:dyDescent="0.3">
      <c r="A2" s="42"/>
      <c r="B2" s="42"/>
    </row>
    <row r="3" spans="1:2" x14ac:dyDescent="0.3">
      <c r="A3" s="42" t="s">
        <v>41</v>
      </c>
      <c r="B3" s="42" t="s">
        <v>42</v>
      </c>
    </row>
    <row r="4" spans="1:2" x14ac:dyDescent="0.3">
      <c r="A4" s="42">
        <v>21</v>
      </c>
      <c r="B4" s="42">
        <v>23</v>
      </c>
    </row>
    <row r="5" spans="1:2" x14ac:dyDescent="0.3">
      <c r="A5" s="42">
        <v>27</v>
      </c>
      <c r="B5" s="42">
        <v>25</v>
      </c>
    </row>
    <row r="6" spans="1:2" x14ac:dyDescent="0.3">
      <c r="A6" s="42">
        <v>25</v>
      </c>
      <c r="B6" s="42">
        <v>25</v>
      </c>
    </row>
    <row r="7" spans="1:2" x14ac:dyDescent="0.3">
      <c r="A7" s="42">
        <v>19</v>
      </c>
      <c r="B7" s="42">
        <v>20</v>
      </c>
    </row>
    <row r="8" spans="1:2" x14ac:dyDescent="0.3">
      <c r="A8" s="42">
        <v>29</v>
      </c>
      <c r="B8" s="42">
        <v>28</v>
      </c>
    </row>
    <row r="9" spans="1:2" x14ac:dyDescent="0.3">
      <c r="A9" s="42"/>
      <c r="B9" s="42"/>
    </row>
    <row r="10" spans="1:2" x14ac:dyDescent="0.3">
      <c r="A10" s="42" t="s">
        <v>156</v>
      </c>
      <c r="B10" s="42"/>
    </row>
    <row r="11" spans="1:2" x14ac:dyDescent="0.3">
      <c r="A11" s="42" t="s">
        <v>157</v>
      </c>
      <c r="B11" s="42"/>
    </row>
    <row r="12" spans="1:2" x14ac:dyDescent="0.3">
      <c r="A12" s="42" t="s">
        <v>158</v>
      </c>
      <c r="B12" s="42"/>
    </row>
    <row r="13" spans="1:2" x14ac:dyDescent="0.3">
      <c r="A13" s="42" t="s">
        <v>159</v>
      </c>
      <c r="B13" s="42"/>
    </row>
    <row r="14" spans="1:2" x14ac:dyDescent="0.3">
      <c r="A14" s="42" t="s">
        <v>160</v>
      </c>
      <c r="B14" s="42"/>
    </row>
    <row r="15" spans="1:2" x14ac:dyDescent="0.3">
      <c r="A15" s="42" t="s">
        <v>161</v>
      </c>
      <c r="B15" s="42"/>
    </row>
    <row r="16" spans="1:2" x14ac:dyDescent="0.3">
      <c r="A16" s="42" t="s">
        <v>162</v>
      </c>
      <c r="B16" s="42"/>
    </row>
    <row r="18" spans="1:7" x14ac:dyDescent="0.3">
      <c r="A18" t="s">
        <v>41</v>
      </c>
      <c r="B18" t="s">
        <v>42</v>
      </c>
      <c r="C18" t="s">
        <v>52</v>
      </c>
      <c r="D18" t="s">
        <v>50</v>
      </c>
      <c r="E18" t="s">
        <v>51</v>
      </c>
      <c r="F18" t="s">
        <v>53</v>
      </c>
      <c r="G18" t="s">
        <v>54</v>
      </c>
    </row>
    <row r="19" spans="1:7" x14ac:dyDescent="0.3">
      <c r="A19">
        <v>21</v>
      </c>
      <c r="B19">
        <v>23</v>
      </c>
      <c r="C19">
        <f>A19-B$36</f>
        <v>-3.1999999999999993</v>
      </c>
      <c r="D19">
        <f>B19-B$37</f>
        <v>-1.1999999999999993</v>
      </c>
      <c r="E19">
        <f>C19*D19</f>
        <v>3.8399999999999967</v>
      </c>
      <c r="F19">
        <f>C19^2</f>
        <v>10.239999999999995</v>
      </c>
      <c r="G19">
        <f>D19^2</f>
        <v>1.4399999999999984</v>
      </c>
    </row>
    <row r="20" spans="1:7" x14ac:dyDescent="0.3">
      <c r="A20">
        <v>27</v>
      </c>
      <c r="B20">
        <v>25</v>
      </c>
      <c r="C20">
        <f t="shared" ref="C20:C23" si="0">A20-B$36</f>
        <v>2.8000000000000007</v>
      </c>
      <c r="D20">
        <f t="shared" ref="D20:D23" si="1">B20-B$37</f>
        <v>0.80000000000000071</v>
      </c>
      <c r="E20">
        <f t="shared" ref="E20:E23" si="2">C20*D20</f>
        <v>2.2400000000000024</v>
      </c>
      <c r="F20">
        <f t="shared" ref="F20:G23" si="3">C20^2</f>
        <v>7.8400000000000043</v>
      </c>
      <c r="G20">
        <f t="shared" si="3"/>
        <v>0.64000000000000112</v>
      </c>
    </row>
    <row r="21" spans="1:7" x14ac:dyDescent="0.3">
      <c r="A21">
        <v>25</v>
      </c>
      <c r="B21">
        <v>25</v>
      </c>
      <c r="C21">
        <f t="shared" si="0"/>
        <v>0.80000000000000071</v>
      </c>
      <c r="D21">
        <f t="shared" si="1"/>
        <v>0.80000000000000071</v>
      </c>
      <c r="E21">
        <f t="shared" si="2"/>
        <v>0.64000000000000112</v>
      </c>
      <c r="F21">
        <f t="shared" si="3"/>
        <v>0.64000000000000112</v>
      </c>
      <c r="G21">
        <f t="shared" si="3"/>
        <v>0.64000000000000112</v>
      </c>
    </row>
    <row r="22" spans="1:7" x14ac:dyDescent="0.3">
      <c r="A22">
        <v>19</v>
      </c>
      <c r="B22">
        <v>20</v>
      </c>
      <c r="C22">
        <f t="shared" si="0"/>
        <v>-5.1999999999999993</v>
      </c>
      <c r="D22">
        <f t="shared" si="1"/>
        <v>-4.1999999999999993</v>
      </c>
      <c r="E22">
        <f t="shared" si="2"/>
        <v>21.839999999999993</v>
      </c>
      <c r="F22">
        <f t="shared" si="3"/>
        <v>27.039999999999992</v>
      </c>
      <c r="G22">
        <f t="shared" si="3"/>
        <v>17.639999999999993</v>
      </c>
    </row>
    <row r="23" spans="1:7" x14ac:dyDescent="0.3">
      <c r="A23">
        <v>29</v>
      </c>
      <c r="B23">
        <v>28</v>
      </c>
      <c r="C23">
        <f t="shared" si="0"/>
        <v>4.8000000000000007</v>
      </c>
      <c r="D23">
        <f t="shared" si="1"/>
        <v>3.8000000000000007</v>
      </c>
      <c r="E23">
        <f t="shared" si="2"/>
        <v>18.240000000000006</v>
      </c>
      <c r="F23">
        <f t="shared" si="3"/>
        <v>23.040000000000006</v>
      </c>
      <c r="G23">
        <f t="shared" si="3"/>
        <v>14.440000000000005</v>
      </c>
    </row>
    <row r="24" spans="1:7" x14ac:dyDescent="0.3">
      <c r="A24" s="35">
        <f>SUM(A19:A23)</f>
        <v>121</v>
      </c>
      <c r="B24" s="35">
        <f>SUM(B19:B23)</f>
        <v>121</v>
      </c>
      <c r="C24" s="35">
        <f>SUM(C19:C23)</f>
        <v>0</v>
      </c>
      <c r="D24" s="35">
        <f>SUM(D19:D23)</f>
        <v>3.5527136788005009E-15</v>
      </c>
      <c r="E24" s="35">
        <f>SUM(E19:E23)</f>
        <v>46.8</v>
      </c>
      <c r="F24" s="35">
        <f t="shared" ref="F24:G24" si="4">SUM(F19:F23)</f>
        <v>68.8</v>
      </c>
      <c r="G24" s="35">
        <f t="shared" si="4"/>
        <v>34.799999999999997</v>
      </c>
    </row>
    <row r="26" spans="1:7" x14ac:dyDescent="0.3">
      <c r="A26" t="s">
        <v>32</v>
      </c>
    </row>
    <row r="27" spans="1:7" x14ac:dyDescent="0.3">
      <c r="A27" t="s">
        <v>43</v>
      </c>
    </row>
    <row r="29" spans="1:7" x14ac:dyDescent="0.3">
      <c r="A29" t="s">
        <v>44</v>
      </c>
    </row>
    <row r="30" spans="1:7" x14ac:dyDescent="0.3">
      <c r="A30" t="s">
        <v>45</v>
      </c>
    </row>
    <row r="31" spans="1:7" x14ac:dyDescent="0.3">
      <c r="A31" t="s">
        <v>46</v>
      </c>
    </row>
    <row r="32" spans="1:7" x14ac:dyDescent="0.3">
      <c r="A32" t="s">
        <v>47</v>
      </c>
    </row>
    <row r="34" spans="1:3" x14ac:dyDescent="0.3">
      <c r="A34" t="s">
        <v>36</v>
      </c>
    </row>
    <row r="36" spans="1:3" x14ac:dyDescent="0.3">
      <c r="A36" t="s">
        <v>48</v>
      </c>
      <c r="B36">
        <f>A24/5</f>
        <v>24.2</v>
      </c>
    </row>
    <row r="37" spans="1:3" x14ac:dyDescent="0.3">
      <c r="A37" t="s">
        <v>49</v>
      </c>
      <c r="B37">
        <f>B24/5</f>
        <v>24.2</v>
      </c>
    </row>
    <row r="39" spans="1:3" x14ac:dyDescent="0.3">
      <c r="A39" t="s">
        <v>55</v>
      </c>
      <c r="B39">
        <f>E24/SQRT(F24*G24)</f>
        <v>0.95644942847080694</v>
      </c>
      <c r="C39" t="s">
        <v>56</v>
      </c>
    </row>
    <row r="41" spans="1:3" x14ac:dyDescent="0.3">
      <c r="A41" t="s">
        <v>57</v>
      </c>
    </row>
    <row r="42" spans="1:3" x14ac:dyDescent="0.3">
      <c r="A42" t="s">
        <v>58</v>
      </c>
    </row>
    <row r="43" spans="1:3" x14ac:dyDescent="0.3">
      <c r="A43" t="s">
        <v>41</v>
      </c>
      <c r="B43" t="s">
        <v>42</v>
      </c>
    </row>
    <row r="44" spans="1:3" x14ac:dyDescent="0.3">
      <c r="A44">
        <v>21</v>
      </c>
      <c r="B44">
        <f>A44+1</f>
        <v>22</v>
      </c>
    </row>
    <row r="45" spans="1:3" x14ac:dyDescent="0.3">
      <c r="A45">
        <v>27</v>
      </c>
      <c r="B45">
        <f t="shared" ref="B45:B48" si="5">A45+1</f>
        <v>28</v>
      </c>
    </row>
    <row r="46" spans="1:3" x14ac:dyDescent="0.3">
      <c r="A46">
        <v>25</v>
      </c>
      <c r="B46">
        <f t="shared" si="5"/>
        <v>26</v>
      </c>
    </row>
    <row r="47" spans="1:3" x14ac:dyDescent="0.3">
      <c r="A47">
        <v>19</v>
      </c>
      <c r="B47">
        <f t="shared" si="5"/>
        <v>20</v>
      </c>
    </row>
    <row r="48" spans="1:3" x14ac:dyDescent="0.3">
      <c r="A48">
        <v>29</v>
      </c>
      <c r="B48">
        <f t="shared" si="5"/>
        <v>30</v>
      </c>
    </row>
    <row r="49" spans="1:6" x14ac:dyDescent="0.3">
      <c r="A49" s="35">
        <f>SUM(A44:A48)</f>
        <v>121</v>
      </c>
      <c r="B49" s="35">
        <f>SUM(B44:B48)</f>
        <v>126</v>
      </c>
    </row>
    <row r="51" spans="1:6" x14ac:dyDescent="0.3">
      <c r="A51" t="s">
        <v>59</v>
      </c>
    </row>
    <row r="52" spans="1:6" x14ac:dyDescent="0.3">
      <c r="A52" t="s">
        <v>60</v>
      </c>
      <c r="B52">
        <f>E24/F24</f>
        <v>0.68023255813953487</v>
      </c>
      <c r="D52" t="s">
        <v>62</v>
      </c>
    </row>
    <row r="53" spans="1:6" x14ac:dyDescent="0.3">
      <c r="A53" t="s">
        <v>61</v>
      </c>
      <c r="B53">
        <f>B37-B36*B52</f>
        <v>7.7383720930232549</v>
      </c>
      <c r="D53" t="s">
        <v>63</v>
      </c>
    </row>
    <row r="55" spans="1:6" x14ac:dyDescent="0.3">
      <c r="A55" t="s">
        <v>64</v>
      </c>
    </row>
    <row r="56" spans="1:6" x14ac:dyDescent="0.3">
      <c r="A56" t="s">
        <v>65</v>
      </c>
      <c r="B56">
        <f>B39^2</f>
        <v>0.91479550922213326</v>
      </c>
      <c r="D56" t="s">
        <v>66</v>
      </c>
    </row>
    <row r="58" spans="1:6" x14ac:dyDescent="0.3">
      <c r="A58" t="s">
        <v>67</v>
      </c>
    </row>
    <row r="59" spans="1:6" x14ac:dyDescent="0.3">
      <c r="A59" t="s">
        <v>69</v>
      </c>
      <c r="F59">
        <f>B53+B52*18</f>
        <v>19.982558139534881</v>
      </c>
    </row>
    <row r="60" spans="1:6" x14ac:dyDescent="0.3">
      <c r="A60" t="s">
        <v>68</v>
      </c>
      <c r="F60">
        <f>B53+B52*25</f>
        <v>24.744186046511626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A19" sqref="A19"/>
    </sheetView>
  </sheetViews>
  <sheetFormatPr defaultColWidth="9.109375" defaultRowHeight="14.4" x14ac:dyDescent="0.3"/>
  <cols>
    <col min="1" max="1" width="27.33203125" style="88" customWidth="1"/>
    <col min="2" max="2" width="11" style="88" customWidth="1"/>
    <col min="3" max="3" width="7.109375" style="88" customWidth="1"/>
    <col min="4" max="4" width="6.5546875" style="88" customWidth="1"/>
    <col min="5" max="5" width="9.109375" style="88" customWidth="1"/>
    <col min="6" max="6" width="6.33203125" style="88" customWidth="1"/>
    <col min="7" max="7" width="6.109375" style="88" customWidth="1"/>
    <col min="8" max="8" width="6" style="88" customWidth="1"/>
    <col min="9" max="9" width="8.109375" style="88" customWidth="1"/>
    <col min="10" max="10" width="4.88671875" style="88" customWidth="1"/>
    <col min="11" max="11" width="6.109375" style="88" customWidth="1"/>
    <col min="12" max="12" width="6.5546875" style="88" customWidth="1"/>
    <col min="13" max="13" width="6.6640625" style="88" customWidth="1"/>
    <col min="14" max="16384" width="9.109375" style="88"/>
  </cols>
  <sheetData>
    <row r="1" spans="1:14" ht="15.6" x14ac:dyDescent="0.3">
      <c r="A1" s="86" t="s">
        <v>178</v>
      </c>
      <c r="B1"/>
      <c r="C1"/>
      <c r="D1"/>
      <c r="E1" s="87"/>
    </row>
    <row r="2" spans="1:14" ht="15.6" x14ac:dyDescent="0.3">
      <c r="A2" s="86" t="s">
        <v>179</v>
      </c>
      <c r="B2"/>
      <c r="C2"/>
      <c r="D2"/>
      <c r="E2" s="87"/>
    </row>
    <row r="3" spans="1:14" ht="15.6" x14ac:dyDescent="0.3">
      <c r="A3" s="86" t="s">
        <v>180</v>
      </c>
      <c r="B3"/>
      <c r="C3"/>
      <c r="D3"/>
      <c r="E3" s="87"/>
    </row>
    <row r="4" spans="1:14" ht="15.6" x14ac:dyDescent="0.3">
      <c r="A4" s="86" t="s">
        <v>181</v>
      </c>
      <c r="B4"/>
      <c r="C4"/>
      <c r="D4"/>
      <c r="E4" s="87"/>
    </row>
    <row r="5" spans="1:14" ht="15.6" x14ac:dyDescent="0.3">
      <c r="A5" s="86"/>
      <c r="B5"/>
      <c r="C5"/>
      <c r="D5"/>
      <c r="E5" s="87"/>
    </row>
    <row r="6" spans="1:14" x14ac:dyDescent="0.3">
      <c r="A6" s="89" t="s">
        <v>182</v>
      </c>
      <c r="B6" s="89">
        <v>781</v>
      </c>
      <c r="C6" s="89">
        <v>843</v>
      </c>
      <c r="D6" s="89">
        <v>972</v>
      </c>
      <c r="E6" s="89">
        <v>887</v>
      </c>
      <c r="F6" s="89">
        <v>923</v>
      </c>
      <c r="G6" s="89"/>
      <c r="H6" s="89"/>
      <c r="J6" s="89"/>
      <c r="K6" s="89"/>
      <c r="L6" s="89"/>
      <c r="M6" s="89"/>
    </row>
    <row r="7" spans="1:14" x14ac:dyDescent="0.3">
      <c r="A7" s="90" t="s">
        <v>183</v>
      </c>
      <c r="B7" s="90">
        <v>2017</v>
      </c>
      <c r="C7" s="90">
        <v>2018</v>
      </c>
      <c r="D7" s="90">
        <v>2019</v>
      </c>
      <c r="E7" s="90">
        <v>2020</v>
      </c>
      <c r="F7" s="90">
        <v>2021</v>
      </c>
      <c r="G7" s="90"/>
      <c r="H7" s="90"/>
      <c r="J7" s="90"/>
      <c r="K7" s="90"/>
      <c r="L7" s="90"/>
      <c r="M7" s="90"/>
    </row>
    <row r="8" spans="1:14" x14ac:dyDescent="0.3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4" x14ac:dyDescent="0.3">
      <c r="A9" s="91" t="s">
        <v>166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6" x14ac:dyDescent="0.3">
      <c r="A10" s="86" t="s">
        <v>184</v>
      </c>
      <c r="B10"/>
      <c r="C10"/>
      <c r="D10"/>
      <c r="E10" s="87"/>
    </row>
    <row r="11" spans="1:14" ht="15.6" x14ac:dyDescent="0.3">
      <c r="A11" s="86" t="s">
        <v>185</v>
      </c>
      <c r="B11"/>
      <c r="C11"/>
      <c r="D11"/>
      <c r="E11" s="87"/>
    </row>
    <row r="12" spans="1:14" ht="16.5" customHeight="1" x14ac:dyDescent="0.3">
      <c r="A12" s="86" t="s">
        <v>186</v>
      </c>
      <c r="B12"/>
      <c r="C12"/>
      <c r="D12"/>
      <c r="E12" s="87"/>
    </row>
    <row r="13" spans="1:14" ht="15.6" x14ac:dyDescent="0.3">
      <c r="A13" s="86"/>
      <c r="B13"/>
      <c r="C13"/>
      <c r="D13"/>
      <c r="E13" s="87"/>
      <c r="F13" s="92"/>
      <c r="G13" s="92"/>
      <c r="H13" s="92"/>
      <c r="I13" s="92"/>
      <c r="J13" s="92"/>
      <c r="K13" s="92"/>
      <c r="L13" s="92"/>
      <c r="M13" s="92"/>
    </row>
    <row r="14" spans="1:14" x14ac:dyDescent="0.3">
      <c r="A14" s="93" t="str">
        <f>A6</f>
        <v>Arrivi turistici (x1000)</v>
      </c>
      <c r="B14" s="94">
        <f>B6</f>
        <v>781</v>
      </c>
      <c r="C14" s="94">
        <f t="shared" ref="C14:F15" si="0">C6</f>
        <v>843</v>
      </c>
      <c r="D14" s="94">
        <f t="shared" si="0"/>
        <v>972</v>
      </c>
      <c r="E14" s="94">
        <f t="shared" si="0"/>
        <v>887</v>
      </c>
      <c r="F14" s="94">
        <f t="shared" si="0"/>
        <v>923</v>
      </c>
      <c r="G14" s="94"/>
      <c r="H14" s="94"/>
      <c r="I14" s="95">
        <f>SUM(B14:F14)</f>
        <v>4406</v>
      </c>
      <c r="J14" s="96"/>
      <c r="K14" s="96"/>
      <c r="L14" s="96"/>
      <c r="M14" s="96"/>
      <c r="N14" s="96"/>
    </row>
    <row r="15" spans="1:14" x14ac:dyDescent="0.3">
      <c r="A15" s="97" t="str">
        <f>A7</f>
        <v>Anno</v>
      </c>
      <c r="B15" s="94">
        <f>B7</f>
        <v>2017</v>
      </c>
      <c r="C15" s="94">
        <f t="shared" si="0"/>
        <v>2018</v>
      </c>
      <c r="D15" s="94">
        <f t="shared" si="0"/>
        <v>2019</v>
      </c>
      <c r="E15" s="94">
        <f t="shared" si="0"/>
        <v>2020</v>
      </c>
      <c r="F15" s="94">
        <f t="shared" si="0"/>
        <v>2021</v>
      </c>
      <c r="G15" s="94"/>
      <c r="H15" s="94"/>
      <c r="I15" s="95">
        <f t="shared" ref="I15:I20" si="1">SUM(B15:F15)</f>
        <v>10095</v>
      </c>
      <c r="J15" s="96"/>
      <c r="K15" s="96"/>
      <c r="L15" s="96"/>
      <c r="M15" s="96"/>
      <c r="N15" s="96"/>
    </row>
    <row r="16" spans="1:14" x14ac:dyDescent="0.3">
      <c r="A16" s="96" t="s">
        <v>102</v>
      </c>
      <c r="B16" s="96">
        <f>B14-$B22</f>
        <v>-100.20000000000005</v>
      </c>
      <c r="C16" s="96">
        <f t="shared" ref="C16:F17" si="2">C14-$B22</f>
        <v>-38.200000000000045</v>
      </c>
      <c r="D16" s="96">
        <f t="shared" si="2"/>
        <v>90.799999999999955</v>
      </c>
      <c r="E16" s="96">
        <f t="shared" si="2"/>
        <v>5.7999999999999545</v>
      </c>
      <c r="F16" s="96">
        <f t="shared" si="2"/>
        <v>41.799999999999955</v>
      </c>
      <c r="G16" s="96"/>
      <c r="H16" s="96"/>
      <c r="I16" s="95">
        <f t="shared" si="1"/>
        <v>-2.2737367544323206E-13</v>
      </c>
      <c r="J16" s="96"/>
      <c r="K16" s="96"/>
      <c r="L16" s="96"/>
      <c r="M16" s="96"/>
      <c r="N16" s="96"/>
    </row>
    <row r="17" spans="1:17" x14ac:dyDescent="0.3">
      <c r="A17" s="96" t="s">
        <v>101</v>
      </c>
      <c r="B17" s="96">
        <f>B15-$B23</f>
        <v>-2</v>
      </c>
      <c r="C17" s="96">
        <f t="shared" si="2"/>
        <v>-1</v>
      </c>
      <c r="D17" s="96">
        <f t="shared" si="2"/>
        <v>0</v>
      </c>
      <c r="E17" s="96">
        <f t="shared" si="2"/>
        <v>1</v>
      </c>
      <c r="F17" s="96">
        <f t="shared" si="2"/>
        <v>2</v>
      </c>
      <c r="G17" s="96"/>
      <c r="H17" s="96"/>
      <c r="I17" s="95">
        <f t="shared" si="1"/>
        <v>0</v>
      </c>
      <c r="J17" s="96"/>
      <c r="K17" s="96"/>
      <c r="L17" s="96"/>
      <c r="M17" s="96"/>
      <c r="N17" s="96"/>
    </row>
    <row r="18" spans="1:17" x14ac:dyDescent="0.3">
      <c r="A18" s="96" t="s">
        <v>187</v>
      </c>
      <c r="B18" s="96">
        <f>B17*B16</f>
        <v>200.40000000000009</v>
      </c>
      <c r="C18" s="96">
        <f t="shared" ref="C18:F18" si="3">C17*C16</f>
        <v>38.200000000000045</v>
      </c>
      <c r="D18" s="96">
        <f t="shared" si="3"/>
        <v>0</v>
      </c>
      <c r="E18" s="96">
        <f t="shared" si="3"/>
        <v>5.7999999999999545</v>
      </c>
      <c r="F18" s="96">
        <f t="shared" si="3"/>
        <v>83.599999999999909</v>
      </c>
      <c r="G18" s="96"/>
      <c r="H18" s="96"/>
      <c r="I18" s="95">
        <f t="shared" si="1"/>
        <v>328</v>
      </c>
      <c r="J18" s="96"/>
      <c r="K18" s="96"/>
      <c r="L18" s="96"/>
      <c r="M18" s="96"/>
      <c r="N18" s="96"/>
    </row>
    <row r="19" spans="1:17" x14ac:dyDescent="0.3">
      <c r="A19" s="98" t="s">
        <v>105</v>
      </c>
      <c r="B19">
        <f>B16^2</f>
        <v>10040.04000000001</v>
      </c>
      <c r="C19">
        <f t="shared" ref="C19:F20" si="4">C16^2</f>
        <v>1459.2400000000034</v>
      </c>
      <c r="D19">
        <f t="shared" si="4"/>
        <v>8244.6399999999921</v>
      </c>
      <c r="E19">
        <f t="shared" si="4"/>
        <v>33.639999999999475</v>
      </c>
      <c r="F19">
        <f t="shared" si="4"/>
        <v>1747.2399999999961</v>
      </c>
      <c r="G19"/>
      <c r="H19"/>
      <c r="I19" s="95">
        <f t="shared" si="1"/>
        <v>21524.800000000003</v>
      </c>
      <c r="J19"/>
      <c r="K19"/>
      <c r="L19"/>
      <c r="M19"/>
      <c r="N19" s="96"/>
    </row>
    <row r="20" spans="1:17" ht="15.6" x14ac:dyDescent="0.3">
      <c r="A20" s="98" t="s">
        <v>104</v>
      </c>
      <c r="B20">
        <f>B17^2</f>
        <v>4</v>
      </c>
      <c r="C20">
        <f t="shared" si="4"/>
        <v>1</v>
      </c>
      <c r="D20">
        <f t="shared" si="4"/>
        <v>0</v>
      </c>
      <c r="E20">
        <f t="shared" si="4"/>
        <v>1</v>
      </c>
      <c r="F20">
        <f t="shared" si="4"/>
        <v>4</v>
      </c>
      <c r="G20"/>
      <c r="H20"/>
      <c r="I20" s="95">
        <f t="shared" si="1"/>
        <v>10</v>
      </c>
      <c r="J20"/>
      <c r="K20"/>
      <c r="L20"/>
      <c r="M20"/>
      <c r="N20" s="96"/>
      <c r="Q20" s="92"/>
    </row>
    <row r="21" spans="1:17" ht="15.6" x14ac:dyDescent="0.3">
      <c r="B21"/>
      <c r="C21"/>
      <c r="D21"/>
      <c r="E21" s="87"/>
      <c r="Q21" s="92"/>
    </row>
    <row r="22" spans="1:17" ht="15.6" x14ac:dyDescent="0.3">
      <c r="A22" t="s">
        <v>100</v>
      </c>
      <c r="B22">
        <f>AVERAGE(B14:F14)</f>
        <v>881.2</v>
      </c>
      <c r="C22"/>
      <c r="D22"/>
      <c r="E22" s="87"/>
      <c r="Q22" s="92"/>
    </row>
    <row r="23" spans="1:17" ht="15.6" x14ac:dyDescent="0.3">
      <c r="A23" t="s">
        <v>188</v>
      </c>
      <c r="B23">
        <f>AVERAGE(B15:F15)</f>
        <v>2019</v>
      </c>
      <c r="C23"/>
      <c r="D23"/>
      <c r="E23" s="87"/>
      <c r="Q23" s="92"/>
    </row>
    <row r="24" spans="1:17" ht="15.6" x14ac:dyDescent="0.3">
      <c r="B24"/>
      <c r="C24"/>
      <c r="D24"/>
      <c r="E24" s="87"/>
      <c r="Q24" s="92"/>
    </row>
    <row r="25" spans="1:17" ht="15.6" x14ac:dyDescent="0.3">
      <c r="A25" s="98" t="s">
        <v>34</v>
      </c>
      <c r="B25"/>
      <c r="C25"/>
      <c r="D25"/>
      <c r="E25" s="87"/>
    </row>
    <row r="26" spans="1:17" ht="15.6" x14ac:dyDescent="0.3">
      <c r="A26" s="98" t="s">
        <v>189</v>
      </c>
      <c r="B26">
        <f>B22-B27*B23</f>
        <v>-65342</v>
      </c>
      <c r="C26"/>
      <c r="D26"/>
      <c r="E26" s="87"/>
    </row>
    <row r="27" spans="1:17" ht="15.6" x14ac:dyDescent="0.3">
      <c r="A27" s="98" t="s">
        <v>190</v>
      </c>
      <c r="B27">
        <f>I18/I20</f>
        <v>32.799999999999997</v>
      </c>
      <c r="C27"/>
      <c r="E27" s="87"/>
    </row>
    <row r="28" spans="1:17" ht="15.6" x14ac:dyDescent="0.3">
      <c r="A28" s="98"/>
      <c r="B28"/>
      <c r="C28"/>
      <c r="D28"/>
      <c r="E28" s="87"/>
    </row>
    <row r="29" spans="1:17" ht="15.6" x14ac:dyDescent="0.3">
      <c r="A29" s="98" t="s">
        <v>191</v>
      </c>
      <c r="B29"/>
      <c r="C29"/>
      <c r="D29"/>
      <c r="E29" s="87">
        <f>B27*1000</f>
        <v>32800</v>
      </c>
      <c r="F29" s="88" t="s">
        <v>192</v>
      </c>
    </row>
    <row r="30" spans="1:17" x14ac:dyDescent="0.3">
      <c r="A30"/>
      <c r="B30"/>
      <c r="C30"/>
      <c r="D30"/>
    </row>
    <row r="31" spans="1:17" x14ac:dyDescent="0.3">
      <c r="A31" s="98" t="s">
        <v>36</v>
      </c>
      <c r="B31"/>
      <c r="C31"/>
      <c r="D31"/>
    </row>
    <row r="32" spans="1:17" x14ac:dyDescent="0.3">
      <c r="A32" s="98" t="s">
        <v>193</v>
      </c>
      <c r="B32">
        <f>(B26+B27*2022)*1000</f>
        <v>979599.99999999127</v>
      </c>
      <c r="C32" s="98" t="s">
        <v>192</v>
      </c>
      <c r="D32"/>
    </row>
    <row r="33" spans="1:4" x14ac:dyDescent="0.3">
      <c r="A33"/>
      <c r="B33"/>
      <c r="C33"/>
      <c r="D33"/>
    </row>
    <row r="34" spans="1:4" x14ac:dyDescent="0.3">
      <c r="A34" s="99" t="s">
        <v>57</v>
      </c>
    </row>
    <row r="36" spans="1:4" x14ac:dyDescent="0.3">
      <c r="A36" s="100" t="s">
        <v>194</v>
      </c>
      <c r="B36" s="88">
        <f>I18^2/I19/I20</f>
        <v>0.49981416784360355</v>
      </c>
      <c r="C36" s="99" t="s">
        <v>195</v>
      </c>
    </row>
    <row r="38" spans="1:4" x14ac:dyDescent="0.3">
      <c r="A38" s="99" t="s">
        <v>196</v>
      </c>
    </row>
    <row r="39" spans="1:4" x14ac:dyDescent="0.3">
      <c r="A39" s="101" t="s">
        <v>197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12" sqref="A1:B12"/>
    </sheetView>
  </sheetViews>
  <sheetFormatPr defaultRowHeight="14.4" x14ac:dyDescent="0.3"/>
  <cols>
    <col min="1" max="1" width="13.6640625" customWidth="1"/>
    <col min="2" max="2" width="15.88671875" customWidth="1"/>
  </cols>
  <sheetData>
    <row r="1" spans="1:13" x14ac:dyDescent="0.3">
      <c r="A1" s="42" t="s">
        <v>169</v>
      </c>
      <c r="B1" s="42"/>
    </row>
    <row r="2" spans="1:13" ht="15" thickBot="1" x14ac:dyDescent="0.35">
      <c r="A2" s="42"/>
      <c r="B2" s="42"/>
    </row>
    <row r="3" spans="1:13" ht="31.8" thickBot="1" x14ac:dyDescent="0.35">
      <c r="A3" s="75" t="s">
        <v>10</v>
      </c>
      <c r="B3" s="76" t="s">
        <v>11</v>
      </c>
    </row>
    <row r="4" spans="1:13" ht="31.8" thickBot="1" x14ac:dyDescent="0.35">
      <c r="A4" s="71" t="s">
        <v>12</v>
      </c>
      <c r="B4" s="72" t="s">
        <v>13</v>
      </c>
    </row>
    <row r="5" spans="1:13" ht="16.2" thickBot="1" x14ac:dyDescent="0.35">
      <c r="A5" s="73" t="s">
        <v>14</v>
      </c>
      <c r="B5" s="74">
        <v>29</v>
      </c>
    </row>
    <row r="6" spans="1:13" ht="16.2" thickBot="1" x14ac:dyDescent="0.35">
      <c r="A6" s="75" t="s">
        <v>15</v>
      </c>
      <c r="B6" s="76">
        <v>15</v>
      </c>
    </row>
    <row r="7" spans="1:13" ht="16.2" thickBot="1" x14ac:dyDescent="0.35">
      <c r="A7" s="75" t="s">
        <v>16</v>
      </c>
      <c r="B7" s="76">
        <v>6</v>
      </c>
    </row>
    <row r="8" spans="1:13" x14ac:dyDescent="0.3">
      <c r="A8" s="42"/>
      <c r="B8" s="42"/>
    </row>
    <row r="9" spans="1:13" x14ac:dyDescent="0.3">
      <c r="A9" s="42" t="s">
        <v>173</v>
      </c>
      <c r="B9" s="42"/>
    </row>
    <row r="10" spans="1:13" x14ac:dyDescent="0.3">
      <c r="A10" s="42" t="s">
        <v>170</v>
      </c>
      <c r="B10" s="42"/>
    </row>
    <row r="11" spans="1:13" x14ac:dyDescent="0.3">
      <c r="A11" s="42" t="s">
        <v>171</v>
      </c>
      <c r="B11" s="42"/>
    </row>
    <row r="12" spans="1:13" x14ac:dyDescent="0.3">
      <c r="A12" s="42" t="s">
        <v>172</v>
      </c>
      <c r="B12" s="42"/>
    </row>
    <row r="14" spans="1:13" ht="15" thickBot="1" x14ac:dyDescent="0.35"/>
    <row r="15" spans="1:13" ht="31.8" thickBot="1" x14ac:dyDescent="0.35">
      <c r="A15" s="17" t="s">
        <v>10</v>
      </c>
      <c r="B15" s="18" t="s">
        <v>11</v>
      </c>
    </row>
    <row r="16" spans="1:13" ht="31.8" thickBot="1" x14ac:dyDescent="0.35">
      <c r="A16" s="13" t="s">
        <v>12</v>
      </c>
      <c r="B16" s="14" t="s">
        <v>13</v>
      </c>
      <c r="C16" t="s">
        <v>107</v>
      </c>
      <c r="D16" t="s">
        <v>108</v>
      </c>
      <c r="E16" t="s">
        <v>111</v>
      </c>
      <c r="F16" t="s">
        <v>112</v>
      </c>
      <c r="G16" t="s">
        <v>115</v>
      </c>
      <c r="H16" t="s">
        <v>116</v>
      </c>
      <c r="L16">
        <v>0</v>
      </c>
      <c r="M16">
        <v>0</v>
      </c>
    </row>
    <row r="17" spans="1:13" ht="16.2" thickBot="1" x14ac:dyDescent="0.35">
      <c r="A17" s="15" t="s">
        <v>14</v>
      </c>
      <c r="B17" s="16">
        <v>29</v>
      </c>
      <c r="C17">
        <v>50</v>
      </c>
      <c r="D17">
        <f>B17/C17</f>
        <v>0.57999999999999996</v>
      </c>
      <c r="E17">
        <f>B17/B$20</f>
        <v>0.57999999999999996</v>
      </c>
      <c r="F17">
        <f>E17</f>
        <v>0.57999999999999996</v>
      </c>
      <c r="G17">
        <f>25</f>
        <v>25</v>
      </c>
      <c r="H17">
        <f>G17*B17</f>
        <v>725</v>
      </c>
      <c r="L17">
        <v>0</v>
      </c>
      <c r="M17">
        <f>D17</f>
        <v>0.57999999999999996</v>
      </c>
    </row>
    <row r="18" spans="1:13" ht="16.2" thickBot="1" x14ac:dyDescent="0.35">
      <c r="A18" s="17" t="s">
        <v>15</v>
      </c>
      <c r="B18" s="18">
        <v>15</v>
      </c>
      <c r="C18">
        <v>50</v>
      </c>
      <c r="D18">
        <f t="shared" ref="D18:D19" si="0">B18/C18</f>
        <v>0.3</v>
      </c>
      <c r="E18">
        <f t="shared" ref="E18:E19" si="1">B18/B$20</f>
        <v>0.3</v>
      </c>
      <c r="F18">
        <f>F17+E18</f>
        <v>0.87999999999999989</v>
      </c>
      <c r="G18">
        <v>75</v>
      </c>
      <c r="H18">
        <f t="shared" ref="H18:H19" si="2">G18*B18</f>
        <v>1125</v>
      </c>
      <c r="L18">
        <v>50</v>
      </c>
      <c r="M18">
        <f>M17</f>
        <v>0.57999999999999996</v>
      </c>
    </row>
    <row r="19" spans="1:13" ht="17.399999999999999" customHeight="1" thickBot="1" x14ac:dyDescent="0.35">
      <c r="A19" s="17" t="s">
        <v>16</v>
      </c>
      <c r="B19" s="18">
        <v>6</v>
      </c>
      <c r="C19">
        <v>100</v>
      </c>
      <c r="D19">
        <f t="shared" si="0"/>
        <v>0.06</v>
      </c>
      <c r="E19">
        <f t="shared" si="1"/>
        <v>0.12</v>
      </c>
      <c r="F19">
        <f>F18+E19</f>
        <v>0.99999999999999989</v>
      </c>
      <c r="G19">
        <v>150</v>
      </c>
      <c r="H19">
        <f t="shared" si="2"/>
        <v>900</v>
      </c>
      <c r="L19">
        <v>50</v>
      </c>
      <c r="M19">
        <v>0</v>
      </c>
    </row>
    <row r="20" spans="1:13" x14ac:dyDescent="0.3">
      <c r="B20">
        <f>SUM(B17:B19)</f>
        <v>50</v>
      </c>
      <c r="E20">
        <f>SUM(E17:E19)</f>
        <v>0.99999999999999989</v>
      </c>
      <c r="H20">
        <f>SUM(H17:H19)</f>
        <v>2750</v>
      </c>
      <c r="L20">
        <v>50</v>
      </c>
      <c r="M20">
        <f>D18</f>
        <v>0.3</v>
      </c>
    </row>
    <row r="21" spans="1:13" x14ac:dyDescent="0.3">
      <c r="L21">
        <v>100</v>
      </c>
      <c r="M21">
        <f>M20</f>
        <v>0.3</v>
      </c>
    </row>
    <row r="22" spans="1:13" ht="15.6" x14ac:dyDescent="0.3">
      <c r="A22" s="38" t="s">
        <v>109</v>
      </c>
      <c r="L22">
        <v>100</v>
      </c>
      <c r="M22">
        <v>0</v>
      </c>
    </row>
    <row r="23" spans="1:13" ht="15.6" x14ac:dyDescent="0.3">
      <c r="A23" s="38" t="s">
        <v>110</v>
      </c>
      <c r="L23">
        <v>100</v>
      </c>
      <c r="M23">
        <f>D19</f>
        <v>0.06</v>
      </c>
    </row>
    <row r="24" spans="1:13" x14ac:dyDescent="0.3">
      <c r="L24">
        <v>200</v>
      </c>
      <c r="M24">
        <f>M23</f>
        <v>0.06</v>
      </c>
    </row>
    <row r="25" spans="1:13" x14ac:dyDescent="0.3">
      <c r="A25" t="s">
        <v>34</v>
      </c>
      <c r="L25">
        <v>200</v>
      </c>
      <c r="M25">
        <v>0</v>
      </c>
    </row>
    <row r="26" spans="1:13" x14ac:dyDescent="0.3">
      <c r="A26" t="s">
        <v>113</v>
      </c>
      <c r="B26">
        <f>0+(0.5-0)/E17*C17</f>
        <v>43.103448275862071</v>
      </c>
    </row>
    <row r="28" spans="1:13" x14ac:dyDescent="0.3">
      <c r="A28" t="s">
        <v>36</v>
      </c>
    </row>
    <row r="29" spans="1:13" x14ac:dyDescent="0.3">
      <c r="A29" t="s">
        <v>114</v>
      </c>
      <c r="B29">
        <f>H20/B20</f>
        <v>55</v>
      </c>
      <c r="D29" t="s">
        <v>117</v>
      </c>
    </row>
    <row r="31" spans="1:13" x14ac:dyDescent="0.3">
      <c r="A31" t="s">
        <v>57</v>
      </c>
    </row>
    <row r="32" spans="1:13" x14ac:dyDescent="0.3">
      <c r="A32" t="s">
        <v>118</v>
      </c>
      <c r="B32">
        <f>(0+(35-0)/C17*E17)*100</f>
        <v>40.599999999999994</v>
      </c>
      <c r="C32" t="s">
        <v>119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2021-04-06T07:52:04Z</dcterms:created>
  <dcterms:modified xsi:type="dcterms:W3CDTF">2022-03-21T14:20:29Z</dcterms:modified>
</cp:coreProperties>
</file>