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40911\"/>
    </mc:Choice>
  </mc:AlternateContent>
  <xr:revisionPtr revIDLastSave="0" documentId="8_{F7C382B6-BEA5-4B0B-93DF-E482875028F5}" xr6:coauthVersionLast="36" xr6:coauthVersionMax="36" xr10:uidLastSave="{00000000-0000-0000-0000-000000000000}"/>
  <bookViews>
    <workbookView xWindow="240" yWindow="36" windowWidth="15480" windowHeight="9720" activeTab="1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Foglio1!$A$1:$O$88</definedName>
    <definedName name="_xlnm.Print_Area" localSheetId="1">Foglio2!#REF!</definedName>
    <definedName name="_xlnm.Print_Area" localSheetId="2">Foglio3!$A$1:$R$10</definedName>
    <definedName name="_xlnm.Print_Area" localSheetId="3">Foglio4!$A$1:$V$51</definedName>
    <definedName name="_xlnm.Print_Area" localSheetId="4">Foglio5!#REF!</definedName>
    <definedName name="_xlnm.Print_Area" localSheetId="5">Foglio6!$A$1:$S$87</definedName>
  </definedNames>
  <calcPr calcId="191029"/>
  <fileRecoveryPr repairLoad="1"/>
</workbook>
</file>

<file path=xl/calcChain.xml><?xml version="1.0" encoding="utf-8"?>
<calcChain xmlns="http://schemas.openxmlformats.org/spreadsheetml/2006/main">
  <c r="E32" i="3" l="1"/>
  <c r="E33" i="3"/>
  <c r="E31" i="3"/>
  <c r="B37" i="7" l="1"/>
  <c r="C39" i="7" s="1"/>
  <c r="B36" i="7"/>
  <c r="C38" i="7" s="1"/>
  <c r="B29" i="7"/>
  <c r="B18" i="7"/>
  <c r="B16" i="7"/>
  <c r="B34" i="9"/>
  <c r="B32" i="9"/>
  <c r="C18" i="9"/>
  <c r="B13" i="9"/>
  <c r="B22" i="5"/>
  <c r="B16" i="5"/>
  <c r="B19" i="5" s="1"/>
  <c r="C17" i="4"/>
  <c r="F12" i="4"/>
  <c r="D12" i="4"/>
  <c r="B21" i="8"/>
  <c r="A29" i="8" s="1"/>
  <c r="D20" i="8"/>
  <c r="D19" i="8"/>
  <c r="D18" i="8"/>
  <c r="D17" i="8"/>
  <c r="D16" i="8"/>
  <c r="D15" i="8"/>
  <c r="C32" i="7" l="1"/>
  <c r="B19" i="7"/>
  <c r="C31" i="7"/>
  <c r="C15" i="8"/>
  <c r="C16" i="8" s="1"/>
  <c r="E16" i="8" s="1"/>
  <c r="D21" i="8"/>
  <c r="C17" i="8" l="1"/>
  <c r="C18" i="8" s="1"/>
  <c r="E18" i="8" s="1"/>
  <c r="E15" i="8"/>
  <c r="E17" i="8" l="1"/>
  <c r="C19" i="8"/>
  <c r="E19" i="8" s="1"/>
  <c r="C20" i="8"/>
  <c r="E20" i="8" s="1"/>
  <c r="E21" i="8" l="1"/>
  <c r="B23" i="8" s="1"/>
  <c r="D32" i="3" l="1"/>
  <c r="D33" i="3"/>
  <c r="D31" i="3"/>
  <c r="C33" i="3"/>
  <c r="C32" i="3"/>
  <c r="C31" i="3"/>
  <c r="B34" i="3"/>
  <c r="B33" i="3"/>
  <c r="B32" i="3"/>
  <c r="B31" i="3"/>
  <c r="A33" i="3"/>
  <c r="A32" i="3"/>
  <c r="A31" i="3"/>
  <c r="E43" i="3"/>
  <c r="B20" i="3"/>
  <c r="B19" i="3"/>
  <c r="B18" i="3"/>
  <c r="D17" i="3"/>
  <c r="C17" i="3"/>
  <c r="B17" i="3"/>
  <c r="F18" i="3" l="1"/>
  <c r="G18" i="3"/>
  <c r="H18" i="3"/>
  <c r="F19" i="3"/>
  <c r="G19" i="3"/>
  <c r="H19" i="3"/>
  <c r="G17" i="3"/>
  <c r="H17" i="3"/>
  <c r="F17" i="3"/>
  <c r="D21" i="4" l="1"/>
  <c r="F21" i="4" s="1"/>
  <c r="B18" i="4"/>
  <c r="D24" i="4" l="1"/>
  <c r="B24" i="4"/>
  <c r="B25" i="9"/>
  <c r="B17" i="9"/>
  <c r="B23" i="9" l="1"/>
  <c r="G24" i="4"/>
  <c r="F28" i="9"/>
  <c r="F27" i="9"/>
  <c r="C30" i="9" l="1"/>
  <c r="D10" i="3"/>
  <c r="E10" i="3"/>
  <c r="C10" i="3"/>
  <c r="F8" i="3"/>
  <c r="F9" i="3"/>
  <c r="F7" i="3"/>
  <c r="C40" i="3" l="1"/>
  <c r="C39" i="3"/>
  <c r="C41" i="3"/>
  <c r="F10" i="3"/>
  <c r="B22" i="3" s="1"/>
  <c r="C43" i="3" l="1"/>
  <c r="B24" i="3"/>
  <c r="C26" i="3"/>
  <c r="B28" i="3" l="1"/>
</calcChain>
</file>

<file path=xl/sharedStrings.xml><?xml version="1.0" encoding="utf-8"?>
<sst xmlns="http://schemas.openxmlformats.org/spreadsheetml/2006/main" count="155" uniqueCount="130">
  <si>
    <t>a)</t>
  </si>
  <si>
    <t>b)</t>
  </si>
  <si>
    <t>Valori centrali di classe:</t>
  </si>
  <si>
    <t>Medie condizionate:</t>
  </si>
  <si>
    <t>media generale =</t>
  </si>
  <si>
    <t>Varianza totale=</t>
  </si>
  <si>
    <t>Varianza delle medie di classe =</t>
  </si>
  <si>
    <t>h =</t>
  </si>
  <si>
    <t>Media delle varianze di classe =</t>
  </si>
  <si>
    <t>m =</t>
  </si>
  <si>
    <t>c)</t>
  </si>
  <si>
    <t>n =</t>
  </si>
  <si>
    <r>
      <t>a</t>
    </r>
    <r>
      <rPr>
        <sz val="10"/>
        <rFont val="Arial"/>
        <family val="2"/>
      </rPr>
      <t xml:space="preserve"> =</t>
    </r>
  </si>
  <si>
    <t>xm =</t>
  </si>
  <si>
    <t>p =</t>
  </si>
  <si>
    <t>d)</t>
  </si>
  <si>
    <t>s =</t>
  </si>
  <si>
    <t>La distribuzione dei dipendenti di una certa azienda per classi di reddito mensile (in migliaia di euro)</t>
  </si>
  <si>
    <t>e titolo di studio è riportata in tabella:</t>
  </si>
  <si>
    <t>Reddito mensile</t>
  </si>
  <si>
    <t>Titolo di studio</t>
  </si>
  <si>
    <t>Licenza media</t>
  </si>
  <si>
    <t>Diploma</t>
  </si>
  <si>
    <t>Laurea</t>
  </si>
  <si>
    <t>b) Si calcoli media e varianza della distribuzione marginale della variabile Reddito mensile</t>
  </si>
  <si>
    <t>c) Si calcoli l'indice di dipendenza in media e si commenti il risultato</t>
  </si>
  <si>
    <t>Varianze condizionate 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</si>
  <si>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</si>
  <si>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 </t>
    </r>
  </si>
  <si>
    <r>
      <t>1-a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</si>
  <si>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</si>
  <si>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</si>
  <si>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</si>
  <si>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</si>
  <si>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t>a) Si calcoli il reddito medio condizionatamente al titolo di studio</t>
  </si>
  <si>
    <t>Verifica correttezza dei calcoli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</si>
  <si>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</si>
  <si>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dell'intervallo per la proporzione =</t>
  </si>
  <si>
    <t>Estremo superiore dell'intervallo per la proporzione =</t>
  </si>
  <si>
    <t>Ampiezza intervallo =</t>
  </si>
  <si>
    <t xml:space="preserve">n= </t>
  </si>
  <si>
    <t>oppure</t>
  </si>
  <si>
    <t xml:space="preserve">concluse con un acquisto. </t>
  </si>
  <si>
    <t>b) Si costruisca un intervallo di confidenza al livello del 99% per la percentuale di visualizzazioni</t>
  </si>
  <si>
    <t>che si concludono con un acquisto.</t>
  </si>
  <si>
    <t>I dati contengono sufficiente evidenza per rigettare l'ipotesi nulla.</t>
  </si>
  <si>
    <t>di visualizzazioni che si concludono con l'acquisto.</t>
  </si>
  <si>
    <t>sigma =</t>
  </si>
  <si>
    <t>)=</t>
  </si>
  <si>
    <t>P(X&gt;x) =</t>
  </si>
  <si>
    <t>P(Z&gt; (x-mu)/sigma) =</t>
  </si>
  <si>
    <t>(x-mu)/sigma =</t>
  </si>
  <si>
    <t>x =</t>
  </si>
  <si>
    <t>P(Xm&lt;</t>
  </si>
  <si>
    <t>)= P(Z &lt;</t>
  </si>
  <si>
    <t>=</t>
  </si>
  <si>
    <t>b) il reddito al di sopra del quale si trova il 10% più ricco della popolazione.</t>
  </si>
  <si>
    <t xml:space="preserve">P(Y&lt;2) = </t>
  </si>
  <si>
    <t>+</t>
  </si>
  <si>
    <t>c) la probabilità che estraendo a caso 10 persone, il loro reddito medio sia inferiore a 1400 euro.</t>
  </si>
  <si>
    <t>1,5 |- 1,8</t>
  </si>
  <si>
    <t>1,8 |- 2,5</t>
  </si>
  <si>
    <t>2,5 |- 3,5</t>
  </si>
  <si>
    <t>d) Si utilizzi l'istogramma per rappresentare la distribuzione dei lavoratori per reddito, senza distinzione di titolo di studio.</t>
  </si>
  <si>
    <t>Classi</t>
  </si>
  <si>
    <t>frequenza</t>
  </si>
  <si>
    <t>ampiezza classi</t>
  </si>
  <si>
    <t>densità</t>
  </si>
  <si>
    <t>A</t>
  </si>
  <si>
    <t>B</t>
  </si>
  <si>
    <t>C</t>
  </si>
  <si>
    <t>D</t>
  </si>
  <si>
    <t>E</t>
  </si>
  <si>
    <t>F</t>
  </si>
  <si>
    <t>Frequenza</t>
  </si>
  <si>
    <t>b) Si rappresenti graficamente il grado di concentrazione.</t>
  </si>
  <si>
    <t>Qi</t>
  </si>
  <si>
    <t>Fi</t>
  </si>
  <si>
    <t>Fi-Qi</t>
  </si>
  <si>
    <t>Frequenze</t>
  </si>
  <si>
    <t>Rapporto di concentrazione di Gini =</t>
  </si>
  <si>
    <t xml:space="preserve">b) </t>
  </si>
  <si>
    <t>Una catena di negozi presenta in una certa regione 6 diversi punti vendita.</t>
  </si>
  <si>
    <t>Il fatturato di ciascuno, in migliaia di euro, per il 2023 è stato</t>
  </si>
  <si>
    <t>Punto vendita</t>
  </si>
  <si>
    <t>a) Si valuti, attraverso il calcolo di un opportuno indice, il grado di concentrazione del fatturato nei 6 punti vendita</t>
  </si>
  <si>
    <t>c) Si calcoli il fatturato teorico di ciascun punto vendita in caso di equidistibuzione.</t>
  </si>
  <si>
    <t>d) A parità di fatturato totale, se nel punto vendita C si fosse osservato un fatturato di 150 mila euro, il grado di concentrazione sarebbe risultato più elevato o più basso di quello calcolato? Si risponda senza effettuare calcoli e motivando la risposta.</t>
  </si>
  <si>
    <t>Il reddito mensile individuale in un determinato paese si distribuisce in maniera normale, con media pari a 2100 euro e deviazione</t>
  </si>
  <si>
    <t xml:space="preserve">standard pari a 800 euro. Si calcoli </t>
  </si>
  <si>
    <t>a) la probabilità che estraendo un individuo a caso, questi abbia un reddito mensile inferiore a 2000 euro</t>
  </si>
  <si>
    <t>d) la probabilità che estraendo a caso 3 persone, al massimo una di loro abbia un reddito inferiore a 2000 euro</t>
  </si>
  <si>
    <t>p(X&lt;</t>
  </si>
  <si>
    <t>)=P(Z&lt;</t>
  </si>
  <si>
    <t>a) Qual è la probabilità che un cliente della banca acquisti il titolo?</t>
  </si>
  <si>
    <t xml:space="preserve">b) Qual è la probabilità che avendo osservato un cliente che ha acquistato il titolo, questi abbia un alto profilo di rischio? </t>
  </si>
  <si>
    <t>c) Qual è la probabilità che, estratto un cliente, questi sia a basso rischio e non abbia acquistato il titolo?</t>
  </si>
  <si>
    <t>d) Gli eventi il cliente acquista il titolo e il cliente ha un basso profilo di rischio sono indipendenti? Motivare la risposta.</t>
  </si>
  <si>
    <t>A={acquisto del titolo}</t>
  </si>
  <si>
    <t>B ={cliente con profilo basso di rischio}</t>
  </si>
  <si>
    <t>P(A|B)=</t>
  </si>
  <si>
    <r>
      <t>P(A|B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)=</t>
    </r>
  </si>
  <si>
    <t>P(B)=</t>
  </si>
  <si>
    <t xml:space="preserve">P(A) = </t>
  </si>
  <si>
    <r>
      <t>P(B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|A)=</t>
    </r>
  </si>
  <si>
    <r>
      <t>P(A</t>
    </r>
    <r>
      <rPr>
        <vertAlign val="superscript"/>
        <sz val="10"/>
        <rFont val="Arial"/>
        <family val="2"/>
      </rPr>
      <t>c</t>
    </r>
    <r>
      <rPr>
        <sz val="10"/>
        <rFont val="Calibri"/>
        <family val="2"/>
      </rPr>
      <t>∩</t>
    </r>
    <r>
      <rPr>
        <sz val="10"/>
        <rFont val="Arial"/>
        <family val="2"/>
      </rPr>
      <t>B) =</t>
    </r>
  </si>
  <si>
    <t>Non sono indipendenti altrimenti la probabilità di A|B dovrebbe essere uguale alla probabilità di A.</t>
  </si>
  <si>
    <t xml:space="preserve">La probabilità che un cliente di una certa banca con un alto profilo di rischio acquisti un determinato titolo è pari a 0,2. </t>
  </si>
  <si>
    <t>La probabilità che lo stesso titolo venga acquistato invece da un cliente con un basso profilo di rischio è pari a 0,03. I clienti ad alto rischio rappresentano il 15% dei clienti della banca. Il restante 85% dei clienti sono a basso rischio.</t>
  </si>
  <si>
    <t>Un sito di vendite online ha registrato nell'ultima settimana 2798 visualizzazioni. Di queste, 349 si sono</t>
  </si>
  <si>
    <t>contro l’alternativa che tale percentuale sia inferiore, al livello alfa del 5%.</t>
  </si>
  <si>
    <t xml:space="preserve">a) Si verifichi l'ipotesi nulla che il 15% delle visualizzazioni si concludono con un acquisto, </t>
  </si>
  <si>
    <t xml:space="preserve">c) Determinare la numerosità campionaria necessaria per ottenere un intervallo di confidenza al 99% con ampiezza massima pari a 0,02 per la percentuale di </t>
  </si>
  <si>
    <t>d) Senza eseguire calcoli e motivando la risposta, sarebbe servita una numerosità campionaria più grande o più piccola di quella al punto c) per ottenere  unintervallo di confidenza di ampiezza massima 0,02 al livello del 90%.</t>
  </si>
  <si>
    <t>Sarebbe stata sufficiente una numerosità più piccola</t>
  </si>
  <si>
    <t>b) Quali sono gli errori che si possono commettere effettuando una verifica delle ipotesi?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</si>
  <si>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</si>
  <si>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z =</t>
  </si>
  <si>
    <t xml:space="preserve">I dati contengono sufficiente evidenza per rifiutare l'ipotesi nulla </t>
  </si>
  <si>
    <t>In una verifica delle ipotesi si possono commettere due tipi di errori. Si può rifiutare l'ipotesi nulla quando questa è vera (errore di prima specie) oppure si può accettare</t>
  </si>
  <si>
    <t>l'ipotesi nulla quando questa è falsa (errore di seconda specie)</t>
  </si>
  <si>
    <r>
      <rPr>
        <sz val="10"/>
        <rFont val="Arial"/>
        <family val="2"/>
      </rP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</si>
  <si>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</si>
  <si>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</si>
  <si>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t>Un campione di 120 lattine provenienti da una distributore automatico ha un contenuto medio di 32,6 cl con</t>
  </si>
  <si>
    <t xml:space="preserve">una deviazione standard campionaria di 1,2 cl. </t>
  </si>
  <si>
    <t>a) Testare l’ipotesi che il contenuto medio delle lattine utilizzate per rifornire il distributore sia pari a 33 cl  contro l’ipotesi alternativa che sia minore, ad un livello del 5%.</t>
  </si>
  <si>
    <t>c) Determinare un intervallo di confidenza al 99% per la media del contenuto nella popolazione di riferimento.</t>
  </si>
  <si>
    <t>d) Determinare un intervallo di confidenza al 95% per la varianza del contenuto nella popolazione di riferimento.</t>
  </si>
  <si>
    <t>Il grado di concentrazione diminuisce.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</si>
</sst>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E+00"/>
    <numFmt numFmtId="167" formatCode="0.0000"/>
  </numFmts>
  <fonts count="17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vertAlign val="subscript"/>
      <sz val="10"/>
      <name val="Symbol"/>
      <family val="1"/>
      <charset val="2"/>
    </font>
    <font>
      <sz val="10"/>
      <name val="Arial"/>
      <family val="2"/>
    </font>
    <font>
      <sz val="10"/>
      <name val="Calibri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1" fontId="0" fillId="0" borderId="0" xfId="0" applyNumberFormat="1"/>
    <xf numFmtId="0" fontId="6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5" fontId="0" fillId="0" borderId="0" xfId="0" applyNumberFormat="1"/>
    <xf numFmtId="0" fontId="10" fillId="0" borderId="0" xfId="0" applyFont="1"/>
    <xf numFmtId="0" fontId="4" fillId="0" borderId="0" xfId="0" quotePrefix="1" applyFont="1" applyBorder="1"/>
    <xf numFmtId="0" fontId="11" fillId="0" borderId="0" xfId="0" applyFont="1" applyBorder="1"/>
    <xf numFmtId="0" fontId="4" fillId="0" borderId="1" xfId="0" quotePrefix="1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0" xfId="0" applyFont="1"/>
    <xf numFmtId="0" fontId="10" fillId="0" borderId="0" xfId="0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164" fontId="10" fillId="0" borderId="0" xfId="0" applyNumberFormat="1" applyFont="1"/>
    <xf numFmtId="0" fontId="4" fillId="0" borderId="0" xfId="0" applyNumberFormat="1" applyFont="1"/>
    <xf numFmtId="2" fontId="0" fillId="0" borderId="0" xfId="0" applyNumberFormat="1"/>
    <xf numFmtId="0" fontId="3" fillId="0" borderId="0" xfId="0" applyFont="1" applyFill="1" applyBorder="1"/>
    <xf numFmtId="0" fontId="0" fillId="0" borderId="0" xfId="0" applyAlignment="1">
      <alignment horizontal="center" wrapText="1"/>
    </xf>
    <xf numFmtId="0" fontId="13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166" fontId="0" fillId="0" borderId="0" xfId="0" applyNumberFormat="1"/>
    <xf numFmtId="166" fontId="0" fillId="0" borderId="0" xfId="0" quotePrefix="1" applyNumberFormat="1"/>
    <xf numFmtId="0" fontId="0" fillId="0" borderId="0" xfId="0" applyBorder="1" applyAlignment="1">
      <alignment horizontal="center" vertical="center" wrapText="1"/>
    </xf>
    <xf numFmtId="0" fontId="3" fillId="0" borderId="0" xfId="0" quotePrefix="1" applyFont="1"/>
    <xf numFmtId="0" fontId="0" fillId="0" borderId="4" xfId="0" applyBorder="1"/>
    <xf numFmtId="0" fontId="4" fillId="0" borderId="0" xfId="0" applyFont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left"/>
    </xf>
    <xf numFmtId="0" fontId="0" fillId="0" borderId="0" xfId="0" applyFill="1" applyBorder="1"/>
    <xf numFmtId="0" fontId="4" fillId="0" borderId="0" xfId="0" applyFont="1" applyFill="1" applyBorder="1"/>
    <xf numFmtId="0" fontId="1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15" fillId="0" borderId="0" xfId="0" quotePrefix="1" applyFont="1"/>
    <xf numFmtId="0" fontId="15" fillId="0" borderId="0" xfId="0" applyFont="1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7" fontId="0" fillId="0" borderId="0" xfId="0" applyNumberFormat="1"/>
    <xf numFmtId="167" fontId="3" fillId="0" borderId="0" xfId="0" applyNumberFormat="1" applyFont="1" applyBorder="1"/>
    <xf numFmtId="0" fontId="7" fillId="0" borderId="0" xfId="0" quotePrefix="1" applyFont="1"/>
    <xf numFmtId="165" fontId="0" fillId="0" borderId="0" xfId="0" applyNumberFormat="1" applyBorder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textRotation="90"/>
    </xf>
    <xf numFmtId="0" fontId="4" fillId="0" borderId="0" xfId="0" applyFont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9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opLeftCell="A15" zoomScale="170" zoomScaleNormal="170" workbookViewId="0">
      <selection activeCell="F34" sqref="F34"/>
    </sheetView>
  </sheetViews>
  <sheetFormatPr defaultColWidth="9.109375" defaultRowHeight="12.3" x14ac:dyDescent="0.4"/>
  <cols>
    <col min="1" max="1" width="17.88671875" style="3" customWidth="1"/>
    <col min="2" max="16384" width="9.109375" style="3"/>
  </cols>
  <sheetData>
    <row r="1" spans="1:6" x14ac:dyDescent="0.4">
      <c r="A1" s="2" t="s">
        <v>17</v>
      </c>
      <c r="B1" s="2"/>
      <c r="C1" s="2"/>
      <c r="D1" s="2"/>
      <c r="E1" s="2"/>
      <c r="F1" s="2"/>
    </row>
    <row r="2" spans="1:6" x14ac:dyDescent="0.4">
      <c r="A2" s="2" t="s">
        <v>18</v>
      </c>
      <c r="B2" s="2"/>
      <c r="C2" s="2"/>
      <c r="D2" s="2"/>
      <c r="E2" s="2"/>
      <c r="F2" s="2"/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2"/>
      <c r="D4" s="2"/>
      <c r="E4" s="2"/>
      <c r="F4" s="2"/>
    </row>
    <row r="5" spans="1:6" x14ac:dyDescent="0.4">
      <c r="A5" s="2"/>
      <c r="B5" s="2"/>
      <c r="C5" s="64" t="s">
        <v>19</v>
      </c>
      <c r="D5" s="64"/>
      <c r="E5" s="64"/>
      <c r="F5" s="2"/>
    </row>
    <row r="6" spans="1:6" ht="12.75" customHeight="1" x14ac:dyDescent="0.4">
      <c r="A6" s="2"/>
      <c r="B6" s="2"/>
      <c r="C6" s="20" t="s">
        <v>60</v>
      </c>
      <c r="D6" s="18" t="s">
        <v>61</v>
      </c>
      <c r="E6" s="18" t="s">
        <v>62</v>
      </c>
      <c r="F6" s="11"/>
    </row>
    <row r="7" spans="1:6" ht="21.75" customHeight="1" x14ac:dyDescent="0.4">
      <c r="A7" s="67" t="s">
        <v>20</v>
      </c>
      <c r="B7" s="12" t="s">
        <v>21</v>
      </c>
      <c r="C7" s="13">
        <v>44</v>
      </c>
      <c r="D7" s="12">
        <v>15</v>
      </c>
      <c r="E7" s="12">
        <v>3</v>
      </c>
      <c r="F7" s="13">
        <f>SUM(C7:E7)</f>
        <v>62</v>
      </c>
    </row>
    <row r="8" spans="1:6" ht="16.5" customHeight="1" x14ac:dyDescent="0.4">
      <c r="A8" s="67"/>
      <c r="B8" s="10" t="s">
        <v>22</v>
      </c>
      <c r="C8" s="11">
        <v>9</v>
      </c>
      <c r="D8" s="10">
        <v>32</v>
      </c>
      <c r="E8" s="10">
        <v>9</v>
      </c>
      <c r="F8" s="13">
        <f>SUM(C8:E8)</f>
        <v>50</v>
      </c>
    </row>
    <row r="9" spans="1:6" ht="18.75" customHeight="1" x14ac:dyDescent="0.4">
      <c r="A9" s="67"/>
      <c r="B9" s="14" t="s">
        <v>23</v>
      </c>
      <c r="C9" s="15">
        <v>4</v>
      </c>
      <c r="D9" s="14">
        <v>8</v>
      </c>
      <c r="E9" s="21">
        <v>16</v>
      </c>
      <c r="F9" s="22">
        <f>SUM(C9:E9)</f>
        <v>28</v>
      </c>
    </row>
    <row r="10" spans="1:6" x14ac:dyDescent="0.4">
      <c r="A10" s="2"/>
      <c r="B10" s="2"/>
      <c r="C10" s="11">
        <f>SUM(C7:C9)</f>
        <v>57</v>
      </c>
      <c r="D10" s="11">
        <f>SUM(D7:D9)</f>
        <v>55</v>
      </c>
      <c r="E10" s="11">
        <f>SUM(E7:E9)</f>
        <v>28</v>
      </c>
      <c r="F10" s="11">
        <f>SUM(F7:F9)</f>
        <v>140</v>
      </c>
    </row>
    <row r="11" spans="1:6" x14ac:dyDescent="0.4">
      <c r="A11" s="2"/>
      <c r="B11" s="2"/>
      <c r="C11" s="2"/>
      <c r="D11" s="2"/>
      <c r="E11" s="2"/>
      <c r="F11" s="2"/>
    </row>
    <row r="12" spans="1:6" x14ac:dyDescent="0.4">
      <c r="A12" s="2" t="s">
        <v>34</v>
      </c>
      <c r="B12" s="2"/>
      <c r="C12" s="2"/>
      <c r="D12" s="2"/>
      <c r="E12" s="2"/>
      <c r="F12" s="2"/>
    </row>
    <row r="13" spans="1:6" x14ac:dyDescent="0.4">
      <c r="A13" s="2" t="s">
        <v>24</v>
      </c>
      <c r="B13" s="2"/>
      <c r="C13" s="2"/>
      <c r="D13" s="2"/>
      <c r="E13" s="2"/>
      <c r="F13" s="2"/>
    </row>
    <row r="14" spans="1:6" x14ac:dyDescent="0.4">
      <c r="A14" s="2" t="s">
        <v>25</v>
      </c>
      <c r="B14" s="2"/>
      <c r="C14" s="2"/>
      <c r="D14" s="2"/>
      <c r="E14" s="2"/>
      <c r="F14" s="2"/>
    </row>
    <row r="15" spans="1:6" x14ac:dyDescent="0.4">
      <c r="A15" s="2" t="s">
        <v>63</v>
      </c>
      <c r="B15" s="2"/>
      <c r="C15" s="2"/>
      <c r="D15" s="2"/>
      <c r="E15" s="2"/>
      <c r="F15" s="2"/>
    </row>
    <row r="16" spans="1:6" x14ac:dyDescent="0.4">
      <c r="A16" s="2"/>
      <c r="B16" s="2"/>
      <c r="C16" s="2"/>
      <c r="D16" s="2"/>
      <c r="E16" s="2"/>
      <c r="F16" s="2"/>
    </row>
    <row r="17" spans="1:8" x14ac:dyDescent="0.4">
      <c r="A17" s="5" t="s">
        <v>2</v>
      </c>
      <c r="B17">
        <f>(1.5+1.8)/2</f>
        <v>1.65</v>
      </c>
      <c r="C17">
        <f>(1.8+2.5)/2</f>
        <v>2.15</v>
      </c>
      <c r="D17">
        <f>(2.5+3.5)/2</f>
        <v>3</v>
      </c>
      <c r="E17"/>
      <c r="F17" s="2">
        <f>B$17*C7</f>
        <v>72.599999999999994</v>
      </c>
      <c r="G17" s="2">
        <f t="shared" ref="G17:H17" si="0">C$17*D7</f>
        <v>32.25</v>
      </c>
      <c r="H17" s="2">
        <f t="shared" si="0"/>
        <v>9</v>
      </c>
    </row>
    <row r="18" spans="1:8" x14ac:dyDescent="0.4">
      <c r="A18" s="5" t="s">
        <v>3</v>
      </c>
      <c r="B18">
        <f>(B$17*C7+C$17*D7+D$17*E7)/F7</f>
        <v>1.8362903225806451</v>
      </c>
      <c r="C18"/>
      <c r="D18"/>
      <c r="E18"/>
      <c r="F18" s="2">
        <f t="shared" ref="F18:F19" si="1">B$17*C8</f>
        <v>14.85</v>
      </c>
      <c r="G18" s="2">
        <f t="shared" ref="G18:G19" si="2">C$17*D8</f>
        <v>68.8</v>
      </c>
      <c r="H18" s="2">
        <f t="shared" ref="H18:H19" si="3">D$17*E8</f>
        <v>27</v>
      </c>
    </row>
    <row r="19" spans="1:8" x14ac:dyDescent="0.4">
      <c r="A19"/>
      <c r="B19">
        <f>(B$17*C8+C$17*D8+D$17*E8)/F8</f>
        <v>2.2129999999999996</v>
      </c>
      <c r="C19"/>
      <c r="D19"/>
      <c r="E19"/>
      <c r="F19" s="2">
        <f t="shared" si="1"/>
        <v>6.6</v>
      </c>
      <c r="G19" s="2">
        <f t="shared" si="2"/>
        <v>17.2</v>
      </c>
      <c r="H19" s="2">
        <f t="shared" si="3"/>
        <v>48</v>
      </c>
    </row>
    <row r="20" spans="1:8" x14ac:dyDescent="0.4">
      <c r="A20"/>
      <c r="B20">
        <f>(B$17*C9+C$17*D9+D$17*E9)/F9</f>
        <v>2.5642857142857141</v>
      </c>
      <c r="C20"/>
      <c r="D20"/>
      <c r="E20"/>
      <c r="F20" s="2"/>
    </row>
    <row r="21" spans="1:8" x14ac:dyDescent="0.4">
      <c r="A21"/>
      <c r="B21"/>
      <c r="C21"/>
      <c r="D21"/>
      <c r="E21"/>
      <c r="F21" s="2"/>
    </row>
    <row r="22" spans="1:8" x14ac:dyDescent="0.4">
      <c r="A22" t="s">
        <v>4</v>
      </c>
      <c r="B22">
        <f>(B$17*C10+C$17*D10+D$17*E10)/F10</f>
        <v>2.1164285714285715</v>
      </c>
      <c r="C22"/>
      <c r="D22"/>
      <c r="E22"/>
      <c r="F22" s="2"/>
    </row>
    <row r="23" spans="1:8" x14ac:dyDescent="0.4">
      <c r="A23"/>
      <c r="B23"/>
      <c r="C23"/>
      <c r="D23"/>
      <c r="E23"/>
      <c r="F23" s="2"/>
    </row>
    <row r="24" spans="1:8" x14ac:dyDescent="0.4">
      <c r="A24" t="s">
        <v>5</v>
      </c>
      <c r="B24">
        <f>((B17-B22)^2*C10+(C17-B22)^2*D10+(D17-B22)^2*E10)/F10</f>
        <v>0.24515867346938783</v>
      </c>
      <c r="C24"/>
      <c r="D24"/>
      <c r="E24"/>
      <c r="F24" s="2"/>
    </row>
    <row r="25" spans="1:8" x14ac:dyDescent="0.4">
      <c r="A25"/>
      <c r="B25"/>
      <c r="C25"/>
      <c r="D25"/>
      <c r="E25"/>
      <c r="F25" s="2"/>
    </row>
    <row r="26" spans="1:8" x14ac:dyDescent="0.4">
      <c r="A26" t="s">
        <v>6</v>
      </c>
      <c r="B26"/>
      <c r="C26">
        <f>((B18-B22)^2*F7+(B19-B22)^2*F8+(B20-B22)^2*F9)/F10</f>
        <v>7.8200227123107272E-2</v>
      </c>
      <c r="D26"/>
      <c r="E26"/>
      <c r="F26" s="2"/>
    </row>
    <row r="27" spans="1:8" x14ac:dyDescent="0.4">
      <c r="A27"/>
      <c r="B27"/>
      <c r="C27"/>
      <c r="D27"/>
      <c r="E27"/>
      <c r="F27" s="2"/>
    </row>
    <row r="28" spans="1:8" x14ac:dyDescent="0.4">
      <c r="A28" s="6" t="s">
        <v>7</v>
      </c>
      <c r="B28">
        <f>C26/B24</f>
        <v>0.31897801540711912</v>
      </c>
      <c r="C28"/>
      <c r="D28"/>
      <c r="E28"/>
      <c r="F28" s="2"/>
    </row>
    <row r="29" spans="1:8" x14ac:dyDescent="0.4">
      <c r="A29" s="6"/>
      <c r="B29"/>
      <c r="C29"/>
      <c r="D29"/>
      <c r="E29"/>
      <c r="F29" s="2"/>
    </row>
    <row r="30" spans="1:8" s="43" customFormat="1" x14ac:dyDescent="0.4">
      <c r="A30" s="23" t="s">
        <v>64</v>
      </c>
      <c r="B30" s="23" t="s">
        <v>65</v>
      </c>
      <c r="C30" s="23" t="s">
        <v>66</v>
      </c>
      <c r="D30" s="23" t="s">
        <v>67</v>
      </c>
      <c r="E30" s="23"/>
      <c r="F30" s="2"/>
    </row>
    <row r="31" spans="1:8" s="43" customFormat="1" x14ac:dyDescent="0.4">
      <c r="A31" s="23" t="str">
        <f>C6</f>
        <v>1,5 |- 1,8</v>
      </c>
      <c r="B31" s="23">
        <f>C10</f>
        <v>57</v>
      </c>
      <c r="C31" s="23">
        <f>(1.8-1.5)</f>
        <v>0.30000000000000004</v>
      </c>
      <c r="D31" s="23">
        <f>B31/C31</f>
        <v>189.99999999999997</v>
      </c>
      <c r="E31" s="23">
        <f>B31/B$34/C31</f>
        <v>1.357142857142857</v>
      </c>
      <c r="F31" s="2"/>
    </row>
    <row r="32" spans="1:8" s="43" customFormat="1" x14ac:dyDescent="0.4">
      <c r="A32" s="23" t="str">
        <f>D6</f>
        <v>1,8 |- 2,5</v>
      </c>
      <c r="B32" s="23">
        <f>D10</f>
        <v>55</v>
      </c>
      <c r="C32" s="23">
        <f>2.5-1.8</f>
        <v>0.7</v>
      </c>
      <c r="D32" s="23">
        <f t="shared" ref="D32:D33" si="4">B32/C32</f>
        <v>78.571428571428569</v>
      </c>
      <c r="E32" s="23">
        <f t="shared" ref="E32:E33" si="5">B32/B$34/C32</f>
        <v>0.56122448979591844</v>
      </c>
      <c r="F32" s="2"/>
    </row>
    <row r="33" spans="1:8" s="43" customFormat="1" x14ac:dyDescent="0.4">
      <c r="A33" s="23" t="str">
        <f>E6</f>
        <v>2,5 |- 3,5</v>
      </c>
      <c r="B33" s="23">
        <f>E10</f>
        <v>28</v>
      </c>
      <c r="C33" s="23">
        <f>3.5-2.5</f>
        <v>1</v>
      </c>
      <c r="D33" s="23">
        <f t="shared" si="4"/>
        <v>28</v>
      </c>
      <c r="E33" s="23">
        <f t="shared" si="5"/>
        <v>0.2</v>
      </c>
      <c r="F33" s="2"/>
    </row>
    <row r="34" spans="1:8" s="43" customFormat="1" x14ac:dyDescent="0.4">
      <c r="A34" s="23"/>
      <c r="B34" s="23">
        <f>SUM(B31:B33)</f>
        <v>140</v>
      </c>
      <c r="C34" s="23"/>
      <c r="D34" s="23"/>
      <c r="E34" s="23"/>
      <c r="F34" s="2"/>
    </row>
    <row r="35" spans="1:8" s="43" customFormat="1" x14ac:dyDescent="0.4">
      <c r="A35" s="23"/>
      <c r="B35" s="23"/>
      <c r="C35" s="23"/>
      <c r="D35" s="23"/>
      <c r="E35" s="23"/>
      <c r="F35" s="2"/>
    </row>
    <row r="36" spans="1:8" s="43" customFormat="1" x14ac:dyDescent="0.4">
      <c r="A36" s="23"/>
      <c r="B36" s="23"/>
      <c r="C36" s="23"/>
      <c r="D36" s="23"/>
      <c r="E36" s="23"/>
      <c r="F36" s="2"/>
    </row>
    <row r="37" spans="1:8" s="43" customFormat="1" x14ac:dyDescent="0.4">
      <c r="A37" s="23"/>
      <c r="B37" s="23"/>
      <c r="C37" s="23"/>
      <c r="D37" s="23"/>
      <c r="E37" s="23"/>
      <c r="F37" s="2"/>
    </row>
    <row r="38" spans="1:8" x14ac:dyDescent="0.4">
      <c r="A38" t="s">
        <v>35</v>
      </c>
      <c r="B38"/>
      <c r="C38"/>
      <c r="D38"/>
      <c r="E38"/>
      <c r="F38" s="2"/>
    </row>
    <row r="39" spans="1:8" x14ac:dyDescent="0.4">
      <c r="A39" s="23" t="s">
        <v>26</v>
      </c>
      <c r="B39"/>
      <c r="C39">
        <f>((B$17-B18)^2*C7+(C$17-B18)^2*D7+(D$17-B18)^2*E7)/F7</f>
        <v>0.11396527055150886</v>
      </c>
      <c r="D39"/>
      <c r="E39"/>
      <c r="F39" s="2"/>
    </row>
    <row r="40" spans="1:8" x14ac:dyDescent="0.4">
      <c r="A40"/>
      <c r="B40"/>
      <c r="C40">
        <f>((B$17-B19)^2*C8+(C$17-B19)^2*D8+(D$17-B19)^2*E8)/F8</f>
        <v>0.17108100000000004</v>
      </c>
      <c r="D40"/>
      <c r="E40"/>
      <c r="F40" s="2"/>
    </row>
    <row r="41" spans="1:8" x14ac:dyDescent="0.4">
      <c r="A41"/>
      <c r="B41"/>
      <c r="C41">
        <f>((B$17-B20)^2*C9+(C$17-B20)^2*D9+(D$17-B20)^2*E9)/F9</f>
        <v>0.27693877551020413</v>
      </c>
      <c r="D41"/>
      <c r="E41"/>
      <c r="F41" s="2"/>
    </row>
    <row r="42" spans="1:8" x14ac:dyDescent="0.4">
      <c r="A42"/>
      <c r="B42"/>
      <c r="C42"/>
      <c r="D42"/>
      <c r="E42"/>
      <c r="F42" s="2"/>
    </row>
    <row r="43" spans="1:8" x14ac:dyDescent="0.4">
      <c r="A43" t="s">
        <v>8</v>
      </c>
      <c r="B43"/>
      <c r="C43">
        <f>(C39*F7+C40*F8+C41*F9)/F10</f>
        <v>0.16695844634628049</v>
      </c>
      <c r="D43"/>
      <c r="E43">
        <f>C43+C26</f>
        <v>0.24515867346938774</v>
      </c>
      <c r="F43" s="2"/>
    </row>
    <row r="44" spans="1:8" x14ac:dyDescent="0.4">
      <c r="A44"/>
      <c r="B44"/>
      <c r="C44"/>
      <c r="D44"/>
      <c r="E44"/>
      <c r="F44" s="2"/>
    </row>
    <row r="45" spans="1:8" x14ac:dyDescent="0.4">
      <c r="A45"/>
      <c r="B45"/>
      <c r="C45"/>
      <c r="D45"/>
      <c r="E45"/>
      <c r="F45" s="2"/>
    </row>
    <row r="46" spans="1:8" ht="15" x14ac:dyDescent="0.5">
      <c r="A46" s="19"/>
      <c r="G46" s="1"/>
      <c r="H46" s="1"/>
    </row>
    <row r="48" spans="1:8" ht="15" x14ac:dyDescent="0.5">
      <c r="G48" s="1"/>
      <c r="H48" s="1"/>
    </row>
    <row r="50" spans="1:5" x14ac:dyDescent="0.4">
      <c r="A50" s="9"/>
      <c r="B50" s="9"/>
      <c r="C50" s="65"/>
      <c r="D50" s="65"/>
      <c r="E50" s="65"/>
    </row>
    <row r="51" spans="1:5" x14ac:dyDescent="0.4">
      <c r="A51" s="9"/>
      <c r="B51" s="9"/>
      <c r="C51" s="9"/>
      <c r="D51" s="9"/>
      <c r="E51" s="9"/>
    </row>
    <row r="52" spans="1:5" ht="12.75" customHeight="1" x14ac:dyDescent="0.4">
      <c r="A52" s="66"/>
      <c r="B52" s="9"/>
      <c r="C52" s="9"/>
      <c r="D52" s="9"/>
      <c r="E52" s="9"/>
    </row>
    <row r="53" spans="1:5" x14ac:dyDescent="0.4">
      <c r="A53" s="66"/>
      <c r="B53" s="9"/>
      <c r="C53" s="9"/>
      <c r="D53" s="9"/>
      <c r="E53" s="9"/>
    </row>
    <row r="54" spans="1:5" x14ac:dyDescent="0.4">
      <c r="A54" s="9"/>
    </row>
    <row r="55" spans="1:5" x14ac:dyDescent="0.4">
      <c r="A55" s="9"/>
    </row>
    <row r="60" spans="1:5" x14ac:dyDescent="0.4">
      <c r="A60" s="9"/>
      <c r="B60" s="9"/>
      <c r="C60" s="65"/>
      <c r="D60" s="65"/>
      <c r="E60" s="65"/>
    </row>
    <row r="61" spans="1:5" x14ac:dyDescent="0.4">
      <c r="A61" s="9"/>
      <c r="B61" s="9"/>
      <c r="C61" s="9"/>
      <c r="D61" s="9"/>
      <c r="E61" s="9"/>
    </row>
    <row r="62" spans="1:5" ht="12.75" customHeight="1" x14ac:dyDescent="0.4">
      <c r="A62" s="66"/>
      <c r="B62" s="9"/>
      <c r="C62" s="9"/>
      <c r="D62" s="9"/>
      <c r="E62" s="9"/>
    </row>
    <row r="63" spans="1:5" x14ac:dyDescent="0.4">
      <c r="A63" s="66"/>
      <c r="B63" s="9"/>
      <c r="C63" s="9"/>
      <c r="D63" s="9"/>
      <c r="E63" s="9"/>
    </row>
    <row r="64" spans="1:5" x14ac:dyDescent="0.4">
      <c r="A64" s="9"/>
    </row>
  </sheetData>
  <mergeCells count="6">
    <mergeCell ref="C5:E5"/>
    <mergeCell ref="C60:E60"/>
    <mergeCell ref="A62:A63"/>
    <mergeCell ref="A7:A9"/>
    <mergeCell ref="C50:E50"/>
    <mergeCell ref="A52:A5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topLeftCell="A18" zoomScale="150" zoomScaleNormal="150" workbookViewId="0">
      <selection activeCell="A33" sqref="A33"/>
    </sheetView>
  </sheetViews>
  <sheetFormatPr defaultColWidth="9.1640625" defaultRowHeight="12.3" x14ac:dyDescent="0.4"/>
  <cols>
    <col min="1" max="1" width="12.71875" style="3" customWidth="1"/>
    <col min="2" max="2" width="6.83203125" style="3" customWidth="1"/>
    <col min="3" max="3" width="6.27734375" style="3" customWidth="1"/>
    <col min="4" max="4" width="6.1640625" style="3" customWidth="1"/>
    <col min="5" max="5" width="11.83203125" style="3" customWidth="1"/>
    <col min="6" max="7" width="4.83203125" style="3" customWidth="1"/>
    <col min="8" max="8" width="6.1640625" style="3" customWidth="1"/>
    <col min="9" max="9" width="6.5546875" style="3" customWidth="1"/>
    <col min="10" max="10" width="6.71875" style="3" customWidth="1"/>
    <col min="11" max="256" width="9.1640625" style="3"/>
    <col min="257" max="257" width="12.71875" style="3" customWidth="1"/>
    <col min="258" max="258" width="6.83203125" style="3" customWidth="1"/>
    <col min="259" max="259" width="6.27734375" style="3" customWidth="1"/>
    <col min="260" max="260" width="6.1640625" style="3" customWidth="1"/>
    <col min="261" max="261" width="11.83203125" style="3" customWidth="1"/>
    <col min="262" max="263" width="4.83203125" style="3" customWidth="1"/>
    <col min="264" max="264" width="6.1640625" style="3" customWidth="1"/>
    <col min="265" max="265" width="6.5546875" style="3" customWidth="1"/>
    <col min="266" max="266" width="6.71875" style="3" customWidth="1"/>
    <col min="267" max="512" width="9.1640625" style="3"/>
    <col min="513" max="513" width="12.71875" style="3" customWidth="1"/>
    <col min="514" max="514" width="6.83203125" style="3" customWidth="1"/>
    <col min="515" max="515" width="6.27734375" style="3" customWidth="1"/>
    <col min="516" max="516" width="6.1640625" style="3" customWidth="1"/>
    <col min="517" max="517" width="11.83203125" style="3" customWidth="1"/>
    <col min="518" max="519" width="4.83203125" style="3" customWidth="1"/>
    <col min="520" max="520" width="6.1640625" style="3" customWidth="1"/>
    <col min="521" max="521" width="6.5546875" style="3" customWidth="1"/>
    <col min="522" max="522" width="6.71875" style="3" customWidth="1"/>
    <col min="523" max="768" width="9.1640625" style="3"/>
    <col min="769" max="769" width="12.71875" style="3" customWidth="1"/>
    <col min="770" max="770" width="6.83203125" style="3" customWidth="1"/>
    <col min="771" max="771" width="6.27734375" style="3" customWidth="1"/>
    <col min="772" max="772" width="6.1640625" style="3" customWidth="1"/>
    <col min="773" max="773" width="11.83203125" style="3" customWidth="1"/>
    <col min="774" max="775" width="4.83203125" style="3" customWidth="1"/>
    <col min="776" max="776" width="6.1640625" style="3" customWidth="1"/>
    <col min="777" max="777" width="6.5546875" style="3" customWidth="1"/>
    <col min="778" max="778" width="6.71875" style="3" customWidth="1"/>
    <col min="779" max="1024" width="9.1640625" style="3"/>
    <col min="1025" max="1025" width="12.71875" style="3" customWidth="1"/>
    <col min="1026" max="1026" width="6.83203125" style="3" customWidth="1"/>
    <col min="1027" max="1027" width="6.27734375" style="3" customWidth="1"/>
    <col min="1028" max="1028" width="6.1640625" style="3" customWidth="1"/>
    <col min="1029" max="1029" width="11.83203125" style="3" customWidth="1"/>
    <col min="1030" max="1031" width="4.83203125" style="3" customWidth="1"/>
    <col min="1032" max="1032" width="6.1640625" style="3" customWidth="1"/>
    <col min="1033" max="1033" width="6.5546875" style="3" customWidth="1"/>
    <col min="1034" max="1034" width="6.71875" style="3" customWidth="1"/>
    <col min="1035" max="1280" width="9.1640625" style="3"/>
    <col min="1281" max="1281" width="12.71875" style="3" customWidth="1"/>
    <col min="1282" max="1282" width="6.83203125" style="3" customWidth="1"/>
    <col min="1283" max="1283" width="6.27734375" style="3" customWidth="1"/>
    <col min="1284" max="1284" width="6.1640625" style="3" customWidth="1"/>
    <col min="1285" max="1285" width="11.83203125" style="3" customWidth="1"/>
    <col min="1286" max="1287" width="4.83203125" style="3" customWidth="1"/>
    <col min="1288" max="1288" width="6.1640625" style="3" customWidth="1"/>
    <col min="1289" max="1289" width="6.5546875" style="3" customWidth="1"/>
    <col min="1290" max="1290" width="6.71875" style="3" customWidth="1"/>
    <col min="1291" max="1536" width="9.1640625" style="3"/>
    <col min="1537" max="1537" width="12.71875" style="3" customWidth="1"/>
    <col min="1538" max="1538" width="6.83203125" style="3" customWidth="1"/>
    <col min="1539" max="1539" width="6.27734375" style="3" customWidth="1"/>
    <col min="1540" max="1540" width="6.1640625" style="3" customWidth="1"/>
    <col min="1541" max="1541" width="11.83203125" style="3" customWidth="1"/>
    <col min="1542" max="1543" width="4.83203125" style="3" customWidth="1"/>
    <col min="1544" max="1544" width="6.1640625" style="3" customWidth="1"/>
    <col min="1545" max="1545" width="6.5546875" style="3" customWidth="1"/>
    <col min="1546" max="1546" width="6.71875" style="3" customWidth="1"/>
    <col min="1547" max="1792" width="9.1640625" style="3"/>
    <col min="1793" max="1793" width="12.71875" style="3" customWidth="1"/>
    <col min="1794" max="1794" width="6.83203125" style="3" customWidth="1"/>
    <col min="1795" max="1795" width="6.27734375" style="3" customWidth="1"/>
    <col min="1796" max="1796" width="6.1640625" style="3" customWidth="1"/>
    <col min="1797" max="1797" width="11.83203125" style="3" customWidth="1"/>
    <col min="1798" max="1799" width="4.83203125" style="3" customWidth="1"/>
    <col min="1800" max="1800" width="6.1640625" style="3" customWidth="1"/>
    <col min="1801" max="1801" width="6.5546875" style="3" customWidth="1"/>
    <col min="1802" max="1802" width="6.71875" style="3" customWidth="1"/>
    <col min="1803" max="2048" width="9.1640625" style="3"/>
    <col min="2049" max="2049" width="12.71875" style="3" customWidth="1"/>
    <col min="2050" max="2050" width="6.83203125" style="3" customWidth="1"/>
    <col min="2051" max="2051" width="6.27734375" style="3" customWidth="1"/>
    <col min="2052" max="2052" width="6.1640625" style="3" customWidth="1"/>
    <col min="2053" max="2053" width="11.83203125" style="3" customWidth="1"/>
    <col min="2054" max="2055" width="4.83203125" style="3" customWidth="1"/>
    <col min="2056" max="2056" width="6.1640625" style="3" customWidth="1"/>
    <col min="2057" max="2057" width="6.5546875" style="3" customWidth="1"/>
    <col min="2058" max="2058" width="6.71875" style="3" customWidth="1"/>
    <col min="2059" max="2304" width="9.1640625" style="3"/>
    <col min="2305" max="2305" width="12.71875" style="3" customWidth="1"/>
    <col min="2306" max="2306" width="6.83203125" style="3" customWidth="1"/>
    <col min="2307" max="2307" width="6.27734375" style="3" customWidth="1"/>
    <col min="2308" max="2308" width="6.1640625" style="3" customWidth="1"/>
    <col min="2309" max="2309" width="11.83203125" style="3" customWidth="1"/>
    <col min="2310" max="2311" width="4.83203125" style="3" customWidth="1"/>
    <col min="2312" max="2312" width="6.1640625" style="3" customWidth="1"/>
    <col min="2313" max="2313" width="6.5546875" style="3" customWidth="1"/>
    <col min="2314" max="2314" width="6.71875" style="3" customWidth="1"/>
    <col min="2315" max="2560" width="9.1640625" style="3"/>
    <col min="2561" max="2561" width="12.71875" style="3" customWidth="1"/>
    <col min="2562" max="2562" width="6.83203125" style="3" customWidth="1"/>
    <col min="2563" max="2563" width="6.27734375" style="3" customWidth="1"/>
    <col min="2564" max="2564" width="6.1640625" style="3" customWidth="1"/>
    <col min="2565" max="2565" width="11.83203125" style="3" customWidth="1"/>
    <col min="2566" max="2567" width="4.83203125" style="3" customWidth="1"/>
    <col min="2568" max="2568" width="6.1640625" style="3" customWidth="1"/>
    <col min="2569" max="2569" width="6.5546875" style="3" customWidth="1"/>
    <col min="2570" max="2570" width="6.71875" style="3" customWidth="1"/>
    <col min="2571" max="2816" width="9.1640625" style="3"/>
    <col min="2817" max="2817" width="12.71875" style="3" customWidth="1"/>
    <col min="2818" max="2818" width="6.83203125" style="3" customWidth="1"/>
    <col min="2819" max="2819" width="6.27734375" style="3" customWidth="1"/>
    <col min="2820" max="2820" width="6.1640625" style="3" customWidth="1"/>
    <col min="2821" max="2821" width="11.83203125" style="3" customWidth="1"/>
    <col min="2822" max="2823" width="4.83203125" style="3" customWidth="1"/>
    <col min="2824" max="2824" width="6.1640625" style="3" customWidth="1"/>
    <col min="2825" max="2825" width="6.5546875" style="3" customWidth="1"/>
    <col min="2826" max="2826" width="6.71875" style="3" customWidth="1"/>
    <col min="2827" max="3072" width="9.1640625" style="3"/>
    <col min="3073" max="3073" width="12.71875" style="3" customWidth="1"/>
    <col min="3074" max="3074" width="6.83203125" style="3" customWidth="1"/>
    <col min="3075" max="3075" width="6.27734375" style="3" customWidth="1"/>
    <col min="3076" max="3076" width="6.1640625" style="3" customWidth="1"/>
    <col min="3077" max="3077" width="11.83203125" style="3" customWidth="1"/>
    <col min="3078" max="3079" width="4.83203125" style="3" customWidth="1"/>
    <col min="3080" max="3080" width="6.1640625" style="3" customWidth="1"/>
    <col min="3081" max="3081" width="6.5546875" style="3" customWidth="1"/>
    <col min="3082" max="3082" width="6.71875" style="3" customWidth="1"/>
    <col min="3083" max="3328" width="9.1640625" style="3"/>
    <col min="3329" max="3329" width="12.71875" style="3" customWidth="1"/>
    <col min="3330" max="3330" width="6.83203125" style="3" customWidth="1"/>
    <col min="3331" max="3331" width="6.27734375" style="3" customWidth="1"/>
    <col min="3332" max="3332" width="6.1640625" style="3" customWidth="1"/>
    <col min="3333" max="3333" width="11.83203125" style="3" customWidth="1"/>
    <col min="3334" max="3335" width="4.83203125" style="3" customWidth="1"/>
    <col min="3336" max="3336" width="6.1640625" style="3" customWidth="1"/>
    <col min="3337" max="3337" width="6.5546875" style="3" customWidth="1"/>
    <col min="3338" max="3338" width="6.71875" style="3" customWidth="1"/>
    <col min="3339" max="3584" width="9.1640625" style="3"/>
    <col min="3585" max="3585" width="12.71875" style="3" customWidth="1"/>
    <col min="3586" max="3586" width="6.83203125" style="3" customWidth="1"/>
    <col min="3587" max="3587" width="6.27734375" style="3" customWidth="1"/>
    <col min="3588" max="3588" width="6.1640625" style="3" customWidth="1"/>
    <col min="3589" max="3589" width="11.83203125" style="3" customWidth="1"/>
    <col min="3590" max="3591" width="4.83203125" style="3" customWidth="1"/>
    <col min="3592" max="3592" width="6.1640625" style="3" customWidth="1"/>
    <col min="3593" max="3593" width="6.5546875" style="3" customWidth="1"/>
    <col min="3594" max="3594" width="6.71875" style="3" customWidth="1"/>
    <col min="3595" max="3840" width="9.1640625" style="3"/>
    <col min="3841" max="3841" width="12.71875" style="3" customWidth="1"/>
    <col min="3842" max="3842" width="6.83203125" style="3" customWidth="1"/>
    <col min="3843" max="3843" width="6.27734375" style="3" customWidth="1"/>
    <col min="3844" max="3844" width="6.1640625" style="3" customWidth="1"/>
    <col min="3845" max="3845" width="11.83203125" style="3" customWidth="1"/>
    <col min="3846" max="3847" width="4.83203125" style="3" customWidth="1"/>
    <col min="3848" max="3848" width="6.1640625" style="3" customWidth="1"/>
    <col min="3849" max="3849" width="6.5546875" style="3" customWidth="1"/>
    <col min="3850" max="3850" width="6.71875" style="3" customWidth="1"/>
    <col min="3851" max="4096" width="9.1640625" style="3"/>
    <col min="4097" max="4097" width="12.71875" style="3" customWidth="1"/>
    <col min="4098" max="4098" width="6.83203125" style="3" customWidth="1"/>
    <col min="4099" max="4099" width="6.27734375" style="3" customWidth="1"/>
    <col min="4100" max="4100" width="6.1640625" style="3" customWidth="1"/>
    <col min="4101" max="4101" width="11.83203125" style="3" customWidth="1"/>
    <col min="4102" max="4103" width="4.83203125" style="3" customWidth="1"/>
    <col min="4104" max="4104" width="6.1640625" style="3" customWidth="1"/>
    <col min="4105" max="4105" width="6.5546875" style="3" customWidth="1"/>
    <col min="4106" max="4106" width="6.71875" style="3" customWidth="1"/>
    <col min="4107" max="4352" width="9.1640625" style="3"/>
    <col min="4353" max="4353" width="12.71875" style="3" customWidth="1"/>
    <col min="4354" max="4354" width="6.83203125" style="3" customWidth="1"/>
    <col min="4355" max="4355" width="6.27734375" style="3" customWidth="1"/>
    <col min="4356" max="4356" width="6.1640625" style="3" customWidth="1"/>
    <col min="4357" max="4357" width="11.83203125" style="3" customWidth="1"/>
    <col min="4358" max="4359" width="4.83203125" style="3" customWidth="1"/>
    <col min="4360" max="4360" width="6.1640625" style="3" customWidth="1"/>
    <col min="4361" max="4361" width="6.5546875" style="3" customWidth="1"/>
    <col min="4362" max="4362" width="6.71875" style="3" customWidth="1"/>
    <col min="4363" max="4608" width="9.1640625" style="3"/>
    <col min="4609" max="4609" width="12.71875" style="3" customWidth="1"/>
    <col min="4610" max="4610" width="6.83203125" style="3" customWidth="1"/>
    <col min="4611" max="4611" width="6.27734375" style="3" customWidth="1"/>
    <col min="4612" max="4612" width="6.1640625" style="3" customWidth="1"/>
    <col min="4613" max="4613" width="11.83203125" style="3" customWidth="1"/>
    <col min="4614" max="4615" width="4.83203125" style="3" customWidth="1"/>
    <col min="4616" max="4616" width="6.1640625" style="3" customWidth="1"/>
    <col min="4617" max="4617" width="6.5546875" style="3" customWidth="1"/>
    <col min="4618" max="4618" width="6.71875" style="3" customWidth="1"/>
    <col min="4619" max="4864" width="9.1640625" style="3"/>
    <col min="4865" max="4865" width="12.71875" style="3" customWidth="1"/>
    <col min="4866" max="4866" width="6.83203125" style="3" customWidth="1"/>
    <col min="4867" max="4867" width="6.27734375" style="3" customWidth="1"/>
    <col min="4868" max="4868" width="6.1640625" style="3" customWidth="1"/>
    <col min="4869" max="4869" width="11.83203125" style="3" customWidth="1"/>
    <col min="4870" max="4871" width="4.83203125" style="3" customWidth="1"/>
    <col min="4872" max="4872" width="6.1640625" style="3" customWidth="1"/>
    <col min="4873" max="4873" width="6.5546875" style="3" customWidth="1"/>
    <col min="4874" max="4874" width="6.71875" style="3" customWidth="1"/>
    <col min="4875" max="5120" width="9.1640625" style="3"/>
    <col min="5121" max="5121" width="12.71875" style="3" customWidth="1"/>
    <col min="5122" max="5122" width="6.83203125" style="3" customWidth="1"/>
    <col min="5123" max="5123" width="6.27734375" style="3" customWidth="1"/>
    <col min="5124" max="5124" width="6.1640625" style="3" customWidth="1"/>
    <col min="5125" max="5125" width="11.83203125" style="3" customWidth="1"/>
    <col min="5126" max="5127" width="4.83203125" style="3" customWidth="1"/>
    <col min="5128" max="5128" width="6.1640625" style="3" customWidth="1"/>
    <col min="5129" max="5129" width="6.5546875" style="3" customWidth="1"/>
    <col min="5130" max="5130" width="6.71875" style="3" customWidth="1"/>
    <col min="5131" max="5376" width="9.1640625" style="3"/>
    <col min="5377" max="5377" width="12.71875" style="3" customWidth="1"/>
    <col min="5378" max="5378" width="6.83203125" style="3" customWidth="1"/>
    <col min="5379" max="5379" width="6.27734375" style="3" customWidth="1"/>
    <col min="5380" max="5380" width="6.1640625" style="3" customWidth="1"/>
    <col min="5381" max="5381" width="11.83203125" style="3" customWidth="1"/>
    <col min="5382" max="5383" width="4.83203125" style="3" customWidth="1"/>
    <col min="5384" max="5384" width="6.1640625" style="3" customWidth="1"/>
    <col min="5385" max="5385" width="6.5546875" style="3" customWidth="1"/>
    <col min="5386" max="5386" width="6.71875" style="3" customWidth="1"/>
    <col min="5387" max="5632" width="9.1640625" style="3"/>
    <col min="5633" max="5633" width="12.71875" style="3" customWidth="1"/>
    <col min="5634" max="5634" width="6.83203125" style="3" customWidth="1"/>
    <col min="5635" max="5635" width="6.27734375" style="3" customWidth="1"/>
    <col min="5636" max="5636" width="6.1640625" style="3" customWidth="1"/>
    <col min="5637" max="5637" width="11.83203125" style="3" customWidth="1"/>
    <col min="5638" max="5639" width="4.83203125" style="3" customWidth="1"/>
    <col min="5640" max="5640" width="6.1640625" style="3" customWidth="1"/>
    <col min="5641" max="5641" width="6.5546875" style="3" customWidth="1"/>
    <col min="5642" max="5642" width="6.71875" style="3" customWidth="1"/>
    <col min="5643" max="5888" width="9.1640625" style="3"/>
    <col min="5889" max="5889" width="12.71875" style="3" customWidth="1"/>
    <col min="5890" max="5890" width="6.83203125" style="3" customWidth="1"/>
    <col min="5891" max="5891" width="6.27734375" style="3" customWidth="1"/>
    <col min="5892" max="5892" width="6.1640625" style="3" customWidth="1"/>
    <col min="5893" max="5893" width="11.83203125" style="3" customWidth="1"/>
    <col min="5894" max="5895" width="4.83203125" style="3" customWidth="1"/>
    <col min="5896" max="5896" width="6.1640625" style="3" customWidth="1"/>
    <col min="5897" max="5897" width="6.5546875" style="3" customWidth="1"/>
    <col min="5898" max="5898" width="6.71875" style="3" customWidth="1"/>
    <col min="5899" max="6144" width="9.1640625" style="3"/>
    <col min="6145" max="6145" width="12.71875" style="3" customWidth="1"/>
    <col min="6146" max="6146" width="6.83203125" style="3" customWidth="1"/>
    <col min="6147" max="6147" width="6.27734375" style="3" customWidth="1"/>
    <col min="6148" max="6148" width="6.1640625" style="3" customWidth="1"/>
    <col min="6149" max="6149" width="11.83203125" style="3" customWidth="1"/>
    <col min="6150" max="6151" width="4.83203125" style="3" customWidth="1"/>
    <col min="6152" max="6152" width="6.1640625" style="3" customWidth="1"/>
    <col min="6153" max="6153" width="6.5546875" style="3" customWidth="1"/>
    <col min="6154" max="6154" width="6.71875" style="3" customWidth="1"/>
    <col min="6155" max="6400" width="9.1640625" style="3"/>
    <col min="6401" max="6401" width="12.71875" style="3" customWidth="1"/>
    <col min="6402" max="6402" width="6.83203125" style="3" customWidth="1"/>
    <col min="6403" max="6403" width="6.27734375" style="3" customWidth="1"/>
    <col min="6404" max="6404" width="6.1640625" style="3" customWidth="1"/>
    <col min="6405" max="6405" width="11.83203125" style="3" customWidth="1"/>
    <col min="6406" max="6407" width="4.83203125" style="3" customWidth="1"/>
    <col min="6408" max="6408" width="6.1640625" style="3" customWidth="1"/>
    <col min="6409" max="6409" width="6.5546875" style="3" customWidth="1"/>
    <col min="6410" max="6410" width="6.71875" style="3" customWidth="1"/>
    <col min="6411" max="6656" width="9.1640625" style="3"/>
    <col min="6657" max="6657" width="12.71875" style="3" customWidth="1"/>
    <col min="6658" max="6658" width="6.83203125" style="3" customWidth="1"/>
    <col min="6659" max="6659" width="6.27734375" style="3" customWidth="1"/>
    <col min="6660" max="6660" width="6.1640625" style="3" customWidth="1"/>
    <col min="6661" max="6661" width="11.83203125" style="3" customWidth="1"/>
    <col min="6662" max="6663" width="4.83203125" style="3" customWidth="1"/>
    <col min="6664" max="6664" width="6.1640625" style="3" customWidth="1"/>
    <col min="6665" max="6665" width="6.5546875" style="3" customWidth="1"/>
    <col min="6666" max="6666" width="6.71875" style="3" customWidth="1"/>
    <col min="6667" max="6912" width="9.1640625" style="3"/>
    <col min="6913" max="6913" width="12.71875" style="3" customWidth="1"/>
    <col min="6914" max="6914" width="6.83203125" style="3" customWidth="1"/>
    <col min="6915" max="6915" width="6.27734375" style="3" customWidth="1"/>
    <col min="6916" max="6916" width="6.1640625" style="3" customWidth="1"/>
    <col min="6917" max="6917" width="11.83203125" style="3" customWidth="1"/>
    <col min="6918" max="6919" width="4.83203125" style="3" customWidth="1"/>
    <col min="6920" max="6920" width="6.1640625" style="3" customWidth="1"/>
    <col min="6921" max="6921" width="6.5546875" style="3" customWidth="1"/>
    <col min="6922" max="6922" width="6.71875" style="3" customWidth="1"/>
    <col min="6923" max="7168" width="9.1640625" style="3"/>
    <col min="7169" max="7169" width="12.71875" style="3" customWidth="1"/>
    <col min="7170" max="7170" width="6.83203125" style="3" customWidth="1"/>
    <col min="7171" max="7171" width="6.27734375" style="3" customWidth="1"/>
    <col min="7172" max="7172" width="6.1640625" style="3" customWidth="1"/>
    <col min="7173" max="7173" width="11.83203125" style="3" customWidth="1"/>
    <col min="7174" max="7175" width="4.83203125" style="3" customWidth="1"/>
    <col min="7176" max="7176" width="6.1640625" style="3" customWidth="1"/>
    <col min="7177" max="7177" width="6.5546875" style="3" customWidth="1"/>
    <col min="7178" max="7178" width="6.71875" style="3" customWidth="1"/>
    <col min="7179" max="7424" width="9.1640625" style="3"/>
    <col min="7425" max="7425" width="12.71875" style="3" customWidth="1"/>
    <col min="7426" max="7426" width="6.83203125" style="3" customWidth="1"/>
    <col min="7427" max="7427" width="6.27734375" style="3" customWidth="1"/>
    <col min="7428" max="7428" width="6.1640625" style="3" customWidth="1"/>
    <col min="7429" max="7429" width="11.83203125" style="3" customWidth="1"/>
    <col min="7430" max="7431" width="4.83203125" style="3" customWidth="1"/>
    <col min="7432" max="7432" width="6.1640625" style="3" customWidth="1"/>
    <col min="7433" max="7433" width="6.5546875" style="3" customWidth="1"/>
    <col min="7434" max="7434" width="6.71875" style="3" customWidth="1"/>
    <col min="7435" max="7680" width="9.1640625" style="3"/>
    <col min="7681" max="7681" width="12.71875" style="3" customWidth="1"/>
    <col min="7682" max="7682" width="6.83203125" style="3" customWidth="1"/>
    <col min="7683" max="7683" width="6.27734375" style="3" customWidth="1"/>
    <col min="7684" max="7684" width="6.1640625" style="3" customWidth="1"/>
    <col min="7685" max="7685" width="11.83203125" style="3" customWidth="1"/>
    <col min="7686" max="7687" width="4.83203125" style="3" customWidth="1"/>
    <col min="7688" max="7688" width="6.1640625" style="3" customWidth="1"/>
    <col min="7689" max="7689" width="6.5546875" style="3" customWidth="1"/>
    <col min="7690" max="7690" width="6.71875" style="3" customWidth="1"/>
    <col min="7691" max="7936" width="9.1640625" style="3"/>
    <col min="7937" max="7937" width="12.71875" style="3" customWidth="1"/>
    <col min="7938" max="7938" width="6.83203125" style="3" customWidth="1"/>
    <col min="7939" max="7939" width="6.27734375" style="3" customWidth="1"/>
    <col min="7940" max="7940" width="6.1640625" style="3" customWidth="1"/>
    <col min="7941" max="7941" width="11.83203125" style="3" customWidth="1"/>
    <col min="7942" max="7943" width="4.83203125" style="3" customWidth="1"/>
    <col min="7944" max="7944" width="6.1640625" style="3" customWidth="1"/>
    <col min="7945" max="7945" width="6.5546875" style="3" customWidth="1"/>
    <col min="7946" max="7946" width="6.71875" style="3" customWidth="1"/>
    <col min="7947" max="8192" width="9.1640625" style="3"/>
    <col min="8193" max="8193" width="12.71875" style="3" customWidth="1"/>
    <col min="8194" max="8194" width="6.83203125" style="3" customWidth="1"/>
    <col min="8195" max="8195" width="6.27734375" style="3" customWidth="1"/>
    <col min="8196" max="8196" width="6.1640625" style="3" customWidth="1"/>
    <col min="8197" max="8197" width="11.83203125" style="3" customWidth="1"/>
    <col min="8198" max="8199" width="4.83203125" style="3" customWidth="1"/>
    <col min="8200" max="8200" width="6.1640625" style="3" customWidth="1"/>
    <col min="8201" max="8201" width="6.5546875" style="3" customWidth="1"/>
    <col min="8202" max="8202" width="6.71875" style="3" customWidth="1"/>
    <col min="8203" max="8448" width="9.1640625" style="3"/>
    <col min="8449" max="8449" width="12.71875" style="3" customWidth="1"/>
    <col min="8450" max="8450" width="6.83203125" style="3" customWidth="1"/>
    <col min="8451" max="8451" width="6.27734375" style="3" customWidth="1"/>
    <col min="8452" max="8452" width="6.1640625" style="3" customWidth="1"/>
    <col min="8453" max="8453" width="11.83203125" style="3" customWidth="1"/>
    <col min="8454" max="8455" width="4.83203125" style="3" customWidth="1"/>
    <col min="8456" max="8456" width="6.1640625" style="3" customWidth="1"/>
    <col min="8457" max="8457" width="6.5546875" style="3" customWidth="1"/>
    <col min="8458" max="8458" width="6.71875" style="3" customWidth="1"/>
    <col min="8459" max="8704" width="9.1640625" style="3"/>
    <col min="8705" max="8705" width="12.71875" style="3" customWidth="1"/>
    <col min="8706" max="8706" width="6.83203125" style="3" customWidth="1"/>
    <col min="8707" max="8707" width="6.27734375" style="3" customWidth="1"/>
    <col min="8708" max="8708" width="6.1640625" style="3" customWidth="1"/>
    <col min="8709" max="8709" width="11.83203125" style="3" customWidth="1"/>
    <col min="8710" max="8711" width="4.83203125" style="3" customWidth="1"/>
    <col min="8712" max="8712" width="6.1640625" style="3" customWidth="1"/>
    <col min="8713" max="8713" width="6.5546875" style="3" customWidth="1"/>
    <col min="8714" max="8714" width="6.71875" style="3" customWidth="1"/>
    <col min="8715" max="8960" width="9.1640625" style="3"/>
    <col min="8961" max="8961" width="12.71875" style="3" customWidth="1"/>
    <col min="8962" max="8962" width="6.83203125" style="3" customWidth="1"/>
    <col min="8963" max="8963" width="6.27734375" style="3" customWidth="1"/>
    <col min="8964" max="8964" width="6.1640625" style="3" customWidth="1"/>
    <col min="8965" max="8965" width="11.83203125" style="3" customWidth="1"/>
    <col min="8966" max="8967" width="4.83203125" style="3" customWidth="1"/>
    <col min="8968" max="8968" width="6.1640625" style="3" customWidth="1"/>
    <col min="8969" max="8969" width="6.5546875" style="3" customWidth="1"/>
    <col min="8970" max="8970" width="6.71875" style="3" customWidth="1"/>
    <col min="8971" max="9216" width="9.1640625" style="3"/>
    <col min="9217" max="9217" width="12.71875" style="3" customWidth="1"/>
    <col min="9218" max="9218" width="6.83203125" style="3" customWidth="1"/>
    <col min="9219" max="9219" width="6.27734375" style="3" customWidth="1"/>
    <col min="9220" max="9220" width="6.1640625" style="3" customWidth="1"/>
    <col min="9221" max="9221" width="11.83203125" style="3" customWidth="1"/>
    <col min="9222" max="9223" width="4.83203125" style="3" customWidth="1"/>
    <col min="9224" max="9224" width="6.1640625" style="3" customWidth="1"/>
    <col min="9225" max="9225" width="6.5546875" style="3" customWidth="1"/>
    <col min="9226" max="9226" width="6.71875" style="3" customWidth="1"/>
    <col min="9227" max="9472" width="9.1640625" style="3"/>
    <col min="9473" max="9473" width="12.71875" style="3" customWidth="1"/>
    <col min="9474" max="9474" width="6.83203125" style="3" customWidth="1"/>
    <col min="9475" max="9475" width="6.27734375" style="3" customWidth="1"/>
    <col min="9476" max="9476" width="6.1640625" style="3" customWidth="1"/>
    <col min="9477" max="9477" width="11.83203125" style="3" customWidth="1"/>
    <col min="9478" max="9479" width="4.83203125" style="3" customWidth="1"/>
    <col min="9480" max="9480" width="6.1640625" style="3" customWidth="1"/>
    <col min="9481" max="9481" width="6.5546875" style="3" customWidth="1"/>
    <col min="9482" max="9482" width="6.71875" style="3" customWidth="1"/>
    <col min="9483" max="9728" width="9.1640625" style="3"/>
    <col min="9729" max="9729" width="12.71875" style="3" customWidth="1"/>
    <col min="9730" max="9730" width="6.83203125" style="3" customWidth="1"/>
    <col min="9731" max="9731" width="6.27734375" style="3" customWidth="1"/>
    <col min="9732" max="9732" width="6.1640625" style="3" customWidth="1"/>
    <col min="9733" max="9733" width="11.83203125" style="3" customWidth="1"/>
    <col min="9734" max="9735" width="4.83203125" style="3" customWidth="1"/>
    <col min="9736" max="9736" width="6.1640625" style="3" customWidth="1"/>
    <col min="9737" max="9737" width="6.5546875" style="3" customWidth="1"/>
    <col min="9738" max="9738" width="6.71875" style="3" customWidth="1"/>
    <col min="9739" max="9984" width="9.1640625" style="3"/>
    <col min="9985" max="9985" width="12.71875" style="3" customWidth="1"/>
    <col min="9986" max="9986" width="6.83203125" style="3" customWidth="1"/>
    <col min="9987" max="9987" width="6.27734375" style="3" customWidth="1"/>
    <col min="9988" max="9988" width="6.1640625" style="3" customWidth="1"/>
    <col min="9989" max="9989" width="11.83203125" style="3" customWidth="1"/>
    <col min="9990" max="9991" width="4.83203125" style="3" customWidth="1"/>
    <col min="9992" max="9992" width="6.1640625" style="3" customWidth="1"/>
    <col min="9993" max="9993" width="6.5546875" style="3" customWidth="1"/>
    <col min="9994" max="9994" width="6.71875" style="3" customWidth="1"/>
    <col min="9995" max="10240" width="9.1640625" style="3"/>
    <col min="10241" max="10241" width="12.71875" style="3" customWidth="1"/>
    <col min="10242" max="10242" width="6.83203125" style="3" customWidth="1"/>
    <col min="10243" max="10243" width="6.27734375" style="3" customWidth="1"/>
    <col min="10244" max="10244" width="6.1640625" style="3" customWidth="1"/>
    <col min="10245" max="10245" width="11.83203125" style="3" customWidth="1"/>
    <col min="10246" max="10247" width="4.83203125" style="3" customWidth="1"/>
    <col min="10248" max="10248" width="6.1640625" style="3" customWidth="1"/>
    <col min="10249" max="10249" width="6.5546875" style="3" customWidth="1"/>
    <col min="10250" max="10250" width="6.71875" style="3" customWidth="1"/>
    <col min="10251" max="10496" width="9.1640625" style="3"/>
    <col min="10497" max="10497" width="12.71875" style="3" customWidth="1"/>
    <col min="10498" max="10498" width="6.83203125" style="3" customWidth="1"/>
    <col min="10499" max="10499" width="6.27734375" style="3" customWidth="1"/>
    <col min="10500" max="10500" width="6.1640625" style="3" customWidth="1"/>
    <col min="10501" max="10501" width="11.83203125" style="3" customWidth="1"/>
    <col min="10502" max="10503" width="4.83203125" style="3" customWidth="1"/>
    <col min="10504" max="10504" width="6.1640625" style="3" customWidth="1"/>
    <col min="10505" max="10505" width="6.5546875" style="3" customWidth="1"/>
    <col min="10506" max="10506" width="6.71875" style="3" customWidth="1"/>
    <col min="10507" max="10752" width="9.1640625" style="3"/>
    <col min="10753" max="10753" width="12.71875" style="3" customWidth="1"/>
    <col min="10754" max="10754" width="6.83203125" style="3" customWidth="1"/>
    <col min="10755" max="10755" width="6.27734375" style="3" customWidth="1"/>
    <col min="10756" max="10756" width="6.1640625" style="3" customWidth="1"/>
    <col min="10757" max="10757" width="11.83203125" style="3" customWidth="1"/>
    <col min="10758" max="10759" width="4.83203125" style="3" customWidth="1"/>
    <col min="10760" max="10760" width="6.1640625" style="3" customWidth="1"/>
    <col min="10761" max="10761" width="6.5546875" style="3" customWidth="1"/>
    <col min="10762" max="10762" width="6.71875" style="3" customWidth="1"/>
    <col min="10763" max="11008" width="9.1640625" style="3"/>
    <col min="11009" max="11009" width="12.71875" style="3" customWidth="1"/>
    <col min="11010" max="11010" width="6.83203125" style="3" customWidth="1"/>
    <col min="11011" max="11011" width="6.27734375" style="3" customWidth="1"/>
    <col min="11012" max="11012" width="6.1640625" style="3" customWidth="1"/>
    <col min="11013" max="11013" width="11.83203125" style="3" customWidth="1"/>
    <col min="11014" max="11015" width="4.83203125" style="3" customWidth="1"/>
    <col min="11016" max="11016" width="6.1640625" style="3" customWidth="1"/>
    <col min="11017" max="11017" width="6.5546875" style="3" customWidth="1"/>
    <col min="11018" max="11018" width="6.71875" style="3" customWidth="1"/>
    <col min="11019" max="11264" width="9.1640625" style="3"/>
    <col min="11265" max="11265" width="12.71875" style="3" customWidth="1"/>
    <col min="11266" max="11266" width="6.83203125" style="3" customWidth="1"/>
    <col min="11267" max="11267" width="6.27734375" style="3" customWidth="1"/>
    <col min="11268" max="11268" width="6.1640625" style="3" customWidth="1"/>
    <col min="11269" max="11269" width="11.83203125" style="3" customWidth="1"/>
    <col min="11270" max="11271" width="4.83203125" style="3" customWidth="1"/>
    <col min="11272" max="11272" width="6.1640625" style="3" customWidth="1"/>
    <col min="11273" max="11273" width="6.5546875" style="3" customWidth="1"/>
    <col min="11274" max="11274" width="6.71875" style="3" customWidth="1"/>
    <col min="11275" max="11520" width="9.1640625" style="3"/>
    <col min="11521" max="11521" width="12.71875" style="3" customWidth="1"/>
    <col min="11522" max="11522" width="6.83203125" style="3" customWidth="1"/>
    <col min="11523" max="11523" width="6.27734375" style="3" customWidth="1"/>
    <col min="11524" max="11524" width="6.1640625" style="3" customWidth="1"/>
    <col min="11525" max="11525" width="11.83203125" style="3" customWidth="1"/>
    <col min="11526" max="11527" width="4.83203125" style="3" customWidth="1"/>
    <col min="11528" max="11528" width="6.1640625" style="3" customWidth="1"/>
    <col min="11529" max="11529" width="6.5546875" style="3" customWidth="1"/>
    <col min="11530" max="11530" width="6.71875" style="3" customWidth="1"/>
    <col min="11531" max="11776" width="9.1640625" style="3"/>
    <col min="11777" max="11777" width="12.71875" style="3" customWidth="1"/>
    <col min="11778" max="11778" width="6.83203125" style="3" customWidth="1"/>
    <col min="11779" max="11779" width="6.27734375" style="3" customWidth="1"/>
    <col min="11780" max="11780" width="6.1640625" style="3" customWidth="1"/>
    <col min="11781" max="11781" width="11.83203125" style="3" customWidth="1"/>
    <col min="11782" max="11783" width="4.83203125" style="3" customWidth="1"/>
    <col min="11784" max="11784" width="6.1640625" style="3" customWidth="1"/>
    <col min="11785" max="11785" width="6.5546875" style="3" customWidth="1"/>
    <col min="11786" max="11786" width="6.71875" style="3" customWidth="1"/>
    <col min="11787" max="12032" width="9.1640625" style="3"/>
    <col min="12033" max="12033" width="12.71875" style="3" customWidth="1"/>
    <col min="12034" max="12034" width="6.83203125" style="3" customWidth="1"/>
    <col min="12035" max="12035" width="6.27734375" style="3" customWidth="1"/>
    <col min="12036" max="12036" width="6.1640625" style="3" customWidth="1"/>
    <col min="12037" max="12037" width="11.83203125" style="3" customWidth="1"/>
    <col min="12038" max="12039" width="4.83203125" style="3" customWidth="1"/>
    <col min="12040" max="12040" width="6.1640625" style="3" customWidth="1"/>
    <col min="12041" max="12041" width="6.5546875" style="3" customWidth="1"/>
    <col min="12042" max="12042" width="6.71875" style="3" customWidth="1"/>
    <col min="12043" max="12288" width="9.1640625" style="3"/>
    <col min="12289" max="12289" width="12.71875" style="3" customWidth="1"/>
    <col min="12290" max="12290" width="6.83203125" style="3" customWidth="1"/>
    <col min="12291" max="12291" width="6.27734375" style="3" customWidth="1"/>
    <col min="12292" max="12292" width="6.1640625" style="3" customWidth="1"/>
    <col min="12293" max="12293" width="11.83203125" style="3" customWidth="1"/>
    <col min="12294" max="12295" width="4.83203125" style="3" customWidth="1"/>
    <col min="12296" max="12296" width="6.1640625" style="3" customWidth="1"/>
    <col min="12297" max="12297" width="6.5546875" style="3" customWidth="1"/>
    <col min="12298" max="12298" width="6.71875" style="3" customWidth="1"/>
    <col min="12299" max="12544" width="9.1640625" style="3"/>
    <col min="12545" max="12545" width="12.71875" style="3" customWidth="1"/>
    <col min="12546" max="12546" width="6.83203125" style="3" customWidth="1"/>
    <col min="12547" max="12547" width="6.27734375" style="3" customWidth="1"/>
    <col min="12548" max="12548" width="6.1640625" style="3" customWidth="1"/>
    <col min="12549" max="12549" width="11.83203125" style="3" customWidth="1"/>
    <col min="12550" max="12551" width="4.83203125" style="3" customWidth="1"/>
    <col min="12552" max="12552" width="6.1640625" style="3" customWidth="1"/>
    <col min="12553" max="12553" width="6.5546875" style="3" customWidth="1"/>
    <col min="12554" max="12554" width="6.71875" style="3" customWidth="1"/>
    <col min="12555" max="12800" width="9.1640625" style="3"/>
    <col min="12801" max="12801" width="12.71875" style="3" customWidth="1"/>
    <col min="12802" max="12802" width="6.83203125" style="3" customWidth="1"/>
    <col min="12803" max="12803" width="6.27734375" style="3" customWidth="1"/>
    <col min="12804" max="12804" width="6.1640625" style="3" customWidth="1"/>
    <col min="12805" max="12805" width="11.83203125" style="3" customWidth="1"/>
    <col min="12806" max="12807" width="4.83203125" style="3" customWidth="1"/>
    <col min="12808" max="12808" width="6.1640625" style="3" customWidth="1"/>
    <col min="12809" max="12809" width="6.5546875" style="3" customWidth="1"/>
    <col min="12810" max="12810" width="6.71875" style="3" customWidth="1"/>
    <col min="12811" max="13056" width="9.1640625" style="3"/>
    <col min="13057" max="13057" width="12.71875" style="3" customWidth="1"/>
    <col min="13058" max="13058" width="6.83203125" style="3" customWidth="1"/>
    <col min="13059" max="13059" width="6.27734375" style="3" customWidth="1"/>
    <col min="13060" max="13060" width="6.1640625" style="3" customWidth="1"/>
    <col min="13061" max="13061" width="11.83203125" style="3" customWidth="1"/>
    <col min="13062" max="13063" width="4.83203125" style="3" customWidth="1"/>
    <col min="13064" max="13064" width="6.1640625" style="3" customWidth="1"/>
    <col min="13065" max="13065" width="6.5546875" style="3" customWidth="1"/>
    <col min="13066" max="13066" width="6.71875" style="3" customWidth="1"/>
    <col min="13067" max="13312" width="9.1640625" style="3"/>
    <col min="13313" max="13313" width="12.71875" style="3" customWidth="1"/>
    <col min="13314" max="13314" width="6.83203125" style="3" customWidth="1"/>
    <col min="13315" max="13315" width="6.27734375" style="3" customWidth="1"/>
    <col min="13316" max="13316" width="6.1640625" style="3" customWidth="1"/>
    <col min="13317" max="13317" width="11.83203125" style="3" customWidth="1"/>
    <col min="13318" max="13319" width="4.83203125" style="3" customWidth="1"/>
    <col min="13320" max="13320" width="6.1640625" style="3" customWidth="1"/>
    <col min="13321" max="13321" width="6.5546875" style="3" customWidth="1"/>
    <col min="13322" max="13322" width="6.71875" style="3" customWidth="1"/>
    <col min="13323" max="13568" width="9.1640625" style="3"/>
    <col min="13569" max="13569" width="12.71875" style="3" customWidth="1"/>
    <col min="13570" max="13570" width="6.83203125" style="3" customWidth="1"/>
    <col min="13571" max="13571" width="6.27734375" style="3" customWidth="1"/>
    <col min="13572" max="13572" width="6.1640625" style="3" customWidth="1"/>
    <col min="13573" max="13573" width="11.83203125" style="3" customWidth="1"/>
    <col min="13574" max="13575" width="4.83203125" style="3" customWidth="1"/>
    <col min="13576" max="13576" width="6.1640625" style="3" customWidth="1"/>
    <col min="13577" max="13577" width="6.5546875" style="3" customWidth="1"/>
    <col min="13578" max="13578" width="6.71875" style="3" customWidth="1"/>
    <col min="13579" max="13824" width="9.1640625" style="3"/>
    <col min="13825" max="13825" width="12.71875" style="3" customWidth="1"/>
    <col min="13826" max="13826" width="6.83203125" style="3" customWidth="1"/>
    <col min="13827" max="13827" width="6.27734375" style="3" customWidth="1"/>
    <col min="13828" max="13828" width="6.1640625" style="3" customWidth="1"/>
    <col min="13829" max="13829" width="11.83203125" style="3" customWidth="1"/>
    <col min="13830" max="13831" width="4.83203125" style="3" customWidth="1"/>
    <col min="13832" max="13832" width="6.1640625" style="3" customWidth="1"/>
    <col min="13833" max="13833" width="6.5546875" style="3" customWidth="1"/>
    <col min="13834" max="13834" width="6.71875" style="3" customWidth="1"/>
    <col min="13835" max="14080" width="9.1640625" style="3"/>
    <col min="14081" max="14081" width="12.71875" style="3" customWidth="1"/>
    <col min="14082" max="14082" width="6.83203125" style="3" customWidth="1"/>
    <col min="14083" max="14083" width="6.27734375" style="3" customWidth="1"/>
    <col min="14084" max="14084" width="6.1640625" style="3" customWidth="1"/>
    <col min="14085" max="14085" width="11.83203125" style="3" customWidth="1"/>
    <col min="14086" max="14087" width="4.83203125" style="3" customWidth="1"/>
    <col min="14088" max="14088" width="6.1640625" style="3" customWidth="1"/>
    <col min="14089" max="14089" width="6.5546875" style="3" customWidth="1"/>
    <col min="14090" max="14090" width="6.71875" style="3" customWidth="1"/>
    <col min="14091" max="14336" width="9.1640625" style="3"/>
    <col min="14337" max="14337" width="12.71875" style="3" customWidth="1"/>
    <col min="14338" max="14338" width="6.83203125" style="3" customWidth="1"/>
    <col min="14339" max="14339" width="6.27734375" style="3" customWidth="1"/>
    <col min="14340" max="14340" width="6.1640625" style="3" customWidth="1"/>
    <col min="14341" max="14341" width="11.83203125" style="3" customWidth="1"/>
    <col min="14342" max="14343" width="4.83203125" style="3" customWidth="1"/>
    <col min="14344" max="14344" width="6.1640625" style="3" customWidth="1"/>
    <col min="14345" max="14345" width="6.5546875" style="3" customWidth="1"/>
    <col min="14346" max="14346" width="6.71875" style="3" customWidth="1"/>
    <col min="14347" max="14592" width="9.1640625" style="3"/>
    <col min="14593" max="14593" width="12.71875" style="3" customWidth="1"/>
    <col min="14594" max="14594" width="6.83203125" style="3" customWidth="1"/>
    <col min="14595" max="14595" width="6.27734375" style="3" customWidth="1"/>
    <col min="14596" max="14596" width="6.1640625" style="3" customWidth="1"/>
    <col min="14597" max="14597" width="11.83203125" style="3" customWidth="1"/>
    <col min="14598" max="14599" width="4.83203125" style="3" customWidth="1"/>
    <col min="14600" max="14600" width="6.1640625" style="3" customWidth="1"/>
    <col min="14601" max="14601" width="6.5546875" style="3" customWidth="1"/>
    <col min="14602" max="14602" width="6.71875" style="3" customWidth="1"/>
    <col min="14603" max="14848" width="9.1640625" style="3"/>
    <col min="14849" max="14849" width="12.71875" style="3" customWidth="1"/>
    <col min="14850" max="14850" width="6.83203125" style="3" customWidth="1"/>
    <col min="14851" max="14851" width="6.27734375" style="3" customWidth="1"/>
    <col min="14852" max="14852" width="6.1640625" style="3" customWidth="1"/>
    <col min="14853" max="14853" width="11.83203125" style="3" customWidth="1"/>
    <col min="14854" max="14855" width="4.83203125" style="3" customWidth="1"/>
    <col min="14856" max="14856" width="6.1640625" style="3" customWidth="1"/>
    <col min="14857" max="14857" width="6.5546875" style="3" customWidth="1"/>
    <col min="14858" max="14858" width="6.71875" style="3" customWidth="1"/>
    <col min="14859" max="15104" width="9.1640625" style="3"/>
    <col min="15105" max="15105" width="12.71875" style="3" customWidth="1"/>
    <col min="15106" max="15106" width="6.83203125" style="3" customWidth="1"/>
    <col min="15107" max="15107" width="6.27734375" style="3" customWidth="1"/>
    <col min="15108" max="15108" width="6.1640625" style="3" customWidth="1"/>
    <col min="15109" max="15109" width="11.83203125" style="3" customWidth="1"/>
    <col min="15110" max="15111" width="4.83203125" style="3" customWidth="1"/>
    <col min="15112" max="15112" width="6.1640625" style="3" customWidth="1"/>
    <col min="15113" max="15113" width="6.5546875" style="3" customWidth="1"/>
    <col min="15114" max="15114" width="6.71875" style="3" customWidth="1"/>
    <col min="15115" max="15360" width="9.1640625" style="3"/>
    <col min="15361" max="15361" width="12.71875" style="3" customWidth="1"/>
    <col min="15362" max="15362" width="6.83203125" style="3" customWidth="1"/>
    <col min="15363" max="15363" width="6.27734375" style="3" customWidth="1"/>
    <col min="15364" max="15364" width="6.1640625" style="3" customWidth="1"/>
    <col min="15365" max="15365" width="11.83203125" style="3" customWidth="1"/>
    <col min="15366" max="15367" width="4.83203125" style="3" customWidth="1"/>
    <col min="15368" max="15368" width="6.1640625" style="3" customWidth="1"/>
    <col min="15369" max="15369" width="6.5546875" style="3" customWidth="1"/>
    <col min="15370" max="15370" width="6.71875" style="3" customWidth="1"/>
    <col min="15371" max="15616" width="9.1640625" style="3"/>
    <col min="15617" max="15617" width="12.71875" style="3" customWidth="1"/>
    <col min="15618" max="15618" width="6.83203125" style="3" customWidth="1"/>
    <col min="15619" max="15619" width="6.27734375" style="3" customWidth="1"/>
    <col min="15620" max="15620" width="6.1640625" style="3" customWidth="1"/>
    <col min="15621" max="15621" width="11.83203125" style="3" customWidth="1"/>
    <col min="15622" max="15623" width="4.83203125" style="3" customWidth="1"/>
    <col min="15624" max="15624" width="6.1640625" style="3" customWidth="1"/>
    <col min="15625" max="15625" width="6.5546875" style="3" customWidth="1"/>
    <col min="15626" max="15626" width="6.71875" style="3" customWidth="1"/>
    <col min="15627" max="15872" width="9.1640625" style="3"/>
    <col min="15873" max="15873" width="12.71875" style="3" customWidth="1"/>
    <col min="15874" max="15874" width="6.83203125" style="3" customWidth="1"/>
    <col min="15875" max="15875" width="6.27734375" style="3" customWidth="1"/>
    <col min="15876" max="15876" width="6.1640625" style="3" customWidth="1"/>
    <col min="15877" max="15877" width="11.83203125" style="3" customWidth="1"/>
    <col min="15878" max="15879" width="4.83203125" style="3" customWidth="1"/>
    <col min="15880" max="15880" width="6.1640625" style="3" customWidth="1"/>
    <col min="15881" max="15881" width="6.5546875" style="3" customWidth="1"/>
    <col min="15882" max="15882" width="6.71875" style="3" customWidth="1"/>
    <col min="15883" max="16128" width="9.1640625" style="3"/>
    <col min="16129" max="16129" width="12.71875" style="3" customWidth="1"/>
    <col min="16130" max="16130" width="6.83203125" style="3" customWidth="1"/>
    <col min="16131" max="16131" width="6.27734375" style="3" customWidth="1"/>
    <col min="16132" max="16132" width="6.1640625" style="3" customWidth="1"/>
    <col min="16133" max="16133" width="11.83203125" style="3" customWidth="1"/>
    <col min="16134" max="16135" width="4.83203125" style="3" customWidth="1"/>
    <col min="16136" max="16136" width="6.1640625" style="3" customWidth="1"/>
    <col min="16137" max="16137" width="6.5546875" style="3" customWidth="1"/>
    <col min="16138" max="16138" width="6.71875" style="3" customWidth="1"/>
    <col min="16139" max="16384" width="9.1640625" style="3"/>
  </cols>
  <sheetData>
    <row r="1" spans="1:7" ht="15" x14ac:dyDescent="0.5">
      <c r="A1" s="2" t="s">
        <v>82</v>
      </c>
      <c r="B1" s="4"/>
    </row>
    <row r="2" spans="1:7" ht="15" x14ac:dyDescent="0.5">
      <c r="A2" s="2" t="s">
        <v>83</v>
      </c>
      <c r="B2" s="4"/>
    </row>
    <row r="3" spans="1:7" x14ac:dyDescent="0.4">
      <c r="A3" s="2"/>
      <c r="B3" s="10"/>
    </row>
    <row r="4" spans="1:7" x14ac:dyDescent="0.4">
      <c r="A4" s="2"/>
      <c r="B4" s="10"/>
    </row>
    <row r="5" spans="1:7" x14ac:dyDescent="0.4">
      <c r="A5" s="2" t="s">
        <v>84</v>
      </c>
      <c r="B5" s="10" t="s">
        <v>68</v>
      </c>
      <c r="C5" s="10" t="s">
        <v>69</v>
      </c>
      <c r="D5" s="10" t="s">
        <v>70</v>
      </c>
      <c r="E5" s="10" t="s">
        <v>71</v>
      </c>
      <c r="F5" s="10" t="s">
        <v>72</v>
      </c>
      <c r="G5" s="10" t="s">
        <v>73</v>
      </c>
    </row>
    <row r="6" spans="1:7" x14ac:dyDescent="0.4">
      <c r="A6" s="44" t="s">
        <v>74</v>
      </c>
      <c r="B6" s="10">
        <v>122</v>
      </c>
      <c r="C6" s="3">
        <v>51</v>
      </c>
      <c r="D6" s="3">
        <v>230</v>
      </c>
      <c r="E6" s="3">
        <v>170</v>
      </c>
      <c r="F6" s="45">
        <v>89</v>
      </c>
      <c r="G6" s="45">
        <v>91</v>
      </c>
    </row>
    <row r="7" spans="1:7" x14ac:dyDescent="0.4">
      <c r="A7" s="10"/>
      <c r="B7" s="46"/>
    </row>
    <row r="8" spans="1:7" x14ac:dyDescent="0.4">
      <c r="A8" s="10"/>
      <c r="B8" s="46"/>
    </row>
    <row r="9" spans="1:7" x14ac:dyDescent="0.4">
      <c r="A9" s="10" t="s">
        <v>85</v>
      </c>
    </row>
    <row r="10" spans="1:7" x14ac:dyDescent="0.4">
      <c r="A10" s="10" t="s">
        <v>75</v>
      </c>
    </row>
    <row r="11" spans="1:7" x14ac:dyDescent="0.4">
      <c r="A11" s="10" t="s">
        <v>86</v>
      </c>
    </row>
    <row r="12" spans="1:7" x14ac:dyDescent="0.4">
      <c r="A12" s="10" t="s">
        <v>87</v>
      </c>
    </row>
    <row r="13" spans="1:7" ht="15" x14ac:dyDescent="0.5">
      <c r="A13" s="47"/>
      <c r="B13" s="17"/>
      <c r="C13" s="17" t="s">
        <v>76</v>
      </c>
      <c r="D13" s="17" t="s">
        <v>77</v>
      </c>
      <c r="E13" s="17" t="s">
        <v>78</v>
      </c>
    </row>
    <row r="14" spans="1:7" ht="15" x14ac:dyDescent="0.5">
      <c r="A14" s="48"/>
      <c r="B14" s="23" t="s">
        <v>79</v>
      </c>
      <c r="C14" s="17">
        <v>0</v>
      </c>
      <c r="D14" s="17">
        <v>0</v>
      </c>
      <c r="E14" s="17">
        <v>0</v>
      </c>
    </row>
    <row r="15" spans="1:7" ht="15" x14ac:dyDescent="0.5">
      <c r="A15" s="49"/>
      <c r="B15" s="50">
        <v>51</v>
      </c>
      <c r="C15" s="27">
        <f>B15/B21</f>
        <v>6.7729083665338641E-2</v>
      </c>
      <c r="D15" s="27">
        <f>1/6</f>
        <v>0.16666666666666666</v>
      </c>
      <c r="E15" s="27">
        <f t="shared" ref="E15:E20" si="0">D15-C15</f>
        <v>9.8937583001328017E-2</v>
      </c>
    </row>
    <row r="16" spans="1:7" ht="15" x14ac:dyDescent="0.5">
      <c r="A16" s="51"/>
      <c r="B16" s="50">
        <v>89</v>
      </c>
      <c r="C16" s="27">
        <f>B16/B$21+C15</f>
        <v>0.18592297476759628</v>
      </c>
      <c r="D16" s="27">
        <f>2/6</f>
        <v>0.33333333333333331</v>
      </c>
      <c r="E16" s="27">
        <f t="shared" si="0"/>
        <v>0.14741035856573703</v>
      </c>
    </row>
    <row r="17" spans="1:5" ht="15" x14ac:dyDescent="0.5">
      <c r="A17" s="51"/>
      <c r="B17" s="50">
        <v>91</v>
      </c>
      <c r="C17" s="27">
        <f>B17/B$21+C16</f>
        <v>0.30677290836653387</v>
      </c>
      <c r="D17" s="27">
        <f>3/6</f>
        <v>0.5</v>
      </c>
      <c r="E17" s="27">
        <f t="shared" si="0"/>
        <v>0.19322709163346613</v>
      </c>
    </row>
    <row r="18" spans="1:5" ht="15" x14ac:dyDescent="0.5">
      <c r="A18" s="51"/>
      <c r="B18" s="50">
        <v>122</v>
      </c>
      <c r="C18" s="27">
        <f>B18/B$21+C17</f>
        <v>0.46879150066401065</v>
      </c>
      <c r="D18" s="27">
        <f>4/6</f>
        <v>0.66666666666666663</v>
      </c>
      <c r="E18" s="27">
        <f t="shared" si="0"/>
        <v>0.19787516600265598</v>
      </c>
    </row>
    <row r="19" spans="1:5" ht="15" x14ac:dyDescent="0.5">
      <c r="A19" s="51"/>
      <c r="B19" s="50">
        <v>170</v>
      </c>
      <c r="C19" s="27">
        <f>B19/B$21+C18</f>
        <v>0.69455511288180616</v>
      </c>
      <c r="D19" s="27">
        <f>5/6</f>
        <v>0.83333333333333337</v>
      </c>
      <c r="E19" s="27">
        <f t="shared" si="0"/>
        <v>0.13877822045152721</v>
      </c>
    </row>
    <row r="20" spans="1:5" ht="15" x14ac:dyDescent="0.5">
      <c r="A20" s="51"/>
      <c r="B20" s="50">
        <v>230</v>
      </c>
      <c r="C20" s="17">
        <f>B20/B$21+C19</f>
        <v>1</v>
      </c>
      <c r="D20" s="17">
        <f>6/6</f>
        <v>1</v>
      </c>
      <c r="E20" s="17">
        <f t="shared" si="0"/>
        <v>0</v>
      </c>
    </row>
    <row r="21" spans="1:5" x14ac:dyDescent="0.4">
      <c r="A21" s="23"/>
      <c r="B21" s="23">
        <f>SUM(B15:B20)</f>
        <v>753</v>
      </c>
      <c r="C21" s="17"/>
      <c r="D21">
        <f>SUM(D14:D19)</f>
        <v>2.5</v>
      </c>
      <c r="E21" s="27">
        <f>SUM(E15:E20)</f>
        <v>0.77622841965471434</v>
      </c>
    </row>
    <row r="22" spans="1:5" x14ac:dyDescent="0.4">
      <c r="A22" s="52" t="s">
        <v>0</v>
      </c>
      <c r="B22" s="52"/>
      <c r="C22" s="17"/>
      <c r="D22" s="17"/>
      <c r="E22" s="17"/>
    </row>
    <row r="23" spans="1:5" x14ac:dyDescent="0.4">
      <c r="A23" t="s">
        <v>80</v>
      </c>
      <c r="B23">
        <f>E21/D21</f>
        <v>0.31049136786188575</v>
      </c>
      <c r="C23"/>
      <c r="D23"/>
      <c r="E23">
        <v>0</v>
      </c>
    </row>
    <row r="24" spans="1:5" x14ac:dyDescent="0.4">
      <c r="E24" s="3">
        <v>1</v>
      </c>
    </row>
    <row r="25" spans="1:5" x14ac:dyDescent="0.4">
      <c r="A25" s="3" t="s">
        <v>81</v>
      </c>
    </row>
    <row r="28" spans="1:5" x14ac:dyDescent="0.4">
      <c r="A28" s="3" t="s">
        <v>10</v>
      </c>
    </row>
    <row r="29" spans="1:5" x14ac:dyDescent="0.4">
      <c r="A29" s="3">
        <f>B21/6</f>
        <v>125.5</v>
      </c>
    </row>
    <row r="31" spans="1:5" x14ac:dyDescent="0.4">
      <c r="A31" s="3" t="s">
        <v>15</v>
      </c>
    </row>
    <row r="32" spans="1:5" x14ac:dyDescent="0.4">
      <c r="A32" s="3" t="s">
        <v>129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Y32"/>
  <sheetViews>
    <sheetView topLeftCell="A8" zoomScale="150" zoomScaleNormal="150" workbookViewId="0">
      <selection activeCell="B24" sqref="B24"/>
    </sheetView>
  </sheetViews>
  <sheetFormatPr defaultRowHeight="12.3" x14ac:dyDescent="0.4"/>
  <cols>
    <col min="1" max="1" width="11.109375" customWidth="1"/>
    <col min="2" max="2" width="10.88671875" customWidth="1"/>
    <col min="3" max="3" width="9.77734375" customWidth="1"/>
    <col min="4" max="4" width="11" customWidth="1"/>
    <col min="5" max="5" width="5" customWidth="1"/>
    <col min="6" max="6" width="9.6640625" customWidth="1"/>
    <col min="7" max="7" width="6.664062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</cols>
  <sheetData>
    <row r="1" spans="1:103" x14ac:dyDescent="0.4">
      <c r="A1" s="2" t="s">
        <v>88</v>
      </c>
      <c r="B1" s="2"/>
    </row>
    <row r="2" spans="1:103" x14ac:dyDescent="0.4">
      <c r="A2" s="2" t="s">
        <v>89</v>
      </c>
      <c r="B2" s="2"/>
    </row>
    <row r="3" spans="1:103" x14ac:dyDescent="0.4">
      <c r="A3" s="2" t="s">
        <v>90</v>
      </c>
      <c r="B3" s="2"/>
    </row>
    <row r="4" spans="1:103" x14ac:dyDescent="0.4">
      <c r="A4" s="2" t="s">
        <v>56</v>
      </c>
      <c r="B4" s="32"/>
      <c r="C4" s="32"/>
    </row>
    <row r="5" spans="1:103" s="2" customFormat="1" x14ac:dyDescent="0.4">
      <c r="A5" s="2" t="s">
        <v>59</v>
      </c>
    </row>
    <row r="6" spans="1:103" x14ac:dyDescent="0.4">
      <c r="A6" s="2" t="s">
        <v>91</v>
      </c>
      <c r="B6" s="32"/>
      <c r="C6" s="32"/>
    </row>
    <row r="8" spans="1:103" x14ac:dyDescent="0.4">
      <c r="A8" s="23" t="s">
        <v>0</v>
      </c>
    </row>
    <row r="9" spans="1:103" x14ac:dyDescent="0.4">
      <c r="A9" s="2"/>
    </row>
    <row r="10" spans="1:103" s="34" customFormat="1" x14ac:dyDescent="0.4">
      <c r="A10" s="33" t="s">
        <v>9</v>
      </c>
      <c r="B10" s="34">
        <v>2100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</row>
    <row r="11" spans="1:103" x14ac:dyDescent="0.4">
      <c r="A11" s="23" t="s">
        <v>47</v>
      </c>
      <c r="B11">
        <v>800</v>
      </c>
    </row>
    <row r="12" spans="1:103" x14ac:dyDescent="0.4">
      <c r="A12" s="23" t="s">
        <v>92</v>
      </c>
      <c r="B12">
        <v>2000</v>
      </c>
      <c r="C12" s="40" t="s">
        <v>93</v>
      </c>
      <c r="D12">
        <f>(B12-B10)/B11</f>
        <v>-0.125</v>
      </c>
      <c r="E12" t="s">
        <v>48</v>
      </c>
      <c r="F12">
        <f>_xlfn.NORM.S.DIST(D12,TRUE)</f>
        <v>0.45026177516988708</v>
      </c>
    </row>
    <row r="13" spans="1:103" x14ac:dyDescent="0.4">
      <c r="C13" s="7"/>
      <c r="E13" s="7"/>
    </row>
    <row r="14" spans="1:103" x14ac:dyDescent="0.4">
      <c r="A14" t="s">
        <v>1</v>
      </c>
    </row>
    <row r="15" spans="1:103" x14ac:dyDescent="0.4">
      <c r="A15" t="s">
        <v>49</v>
      </c>
      <c r="B15">
        <v>0.1</v>
      </c>
    </row>
    <row r="16" spans="1:103" x14ac:dyDescent="0.4">
      <c r="A16" s="36" t="s">
        <v>50</v>
      </c>
      <c r="C16">
        <v>0.1</v>
      </c>
    </row>
    <row r="17" spans="1:103" x14ac:dyDescent="0.4">
      <c r="A17" s="23" t="s">
        <v>51</v>
      </c>
      <c r="B17" s="7"/>
      <c r="C17" s="7">
        <f>_xlfn.NORM.S.INV(1-C16)</f>
        <v>1.2815515655446006</v>
      </c>
      <c r="D17" s="37"/>
      <c r="E17" s="38"/>
      <c r="F17" s="37"/>
      <c r="G17" s="38"/>
      <c r="H17" s="37"/>
      <c r="I17" s="38"/>
      <c r="J17" s="37"/>
      <c r="K17" s="38"/>
      <c r="L17" s="37"/>
      <c r="M17" s="38"/>
      <c r="N17" s="37"/>
      <c r="O17" s="7"/>
      <c r="P17" s="37"/>
    </row>
    <row r="18" spans="1:103" x14ac:dyDescent="0.4">
      <c r="A18" s="23" t="s">
        <v>52</v>
      </c>
      <c r="B18">
        <f>C17*B11+B10</f>
        <v>3125.2412524356805</v>
      </c>
    </row>
    <row r="20" spans="1:103" x14ac:dyDescent="0.4">
      <c r="A20" s="23" t="s">
        <v>10</v>
      </c>
    </row>
    <row r="21" spans="1:103" x14ac:dyDescent="0.4">
      <c r="A21" s="23" t="s">
        <v>53</v>
      </c>
      <c r="B21">
        <v>1400</v>
      </c>
      <c r="C21" s="23" t="s">
        <v>54</v>
      </c>
      <c r="D21">
        <f>(B21-B10)/(B11/SQRT(10))</f>
        <v>-2.7669929526473318</v>
      </c>
      <c r="E21" s="23" t="s">
        <v>48</v>
      </c>
      <c r="F21">
        <f>_xlfn.NORM.S.DIST(D21,TRUE)</f>
        <v>2.8287989075321796E-3</v>
      </c>
    </row>
    <row r="22" spans="1:103" x14ac:dyDescent="0.4"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</row>
    <row r="23" spans="1:103" x14ac:dyDescent="0.4">
      <c r="A23" s="23" t="s">
        <v>15</v>
      </c>
    </row>
    <row r="24" spans="1:103" x14ac:dyDescent="0.4">
      <c r="A24" s="23" t="s">
        <v>57</v>
      </c>
      <c r="B24">
        <f>_xlfn.BINOM.DIST(0,3,F12,FALSE)</f>
        <v>0.16613755208368428</v>
      </c>
      <c r="C24" s="7" t="s">
        <v>58</v>
      </c>
      <c r="D24" s="40">
        <f>_xlfn.BINOM.DIST(1,3,F12,FALSE)</f>
        <v>0.40822369126703856</v>
      </c>
      <c r="F24" s="40" t="s">
        <v>55</v>
      </c>
      <c r="G24">
        <f>B24+D24</f>
        <v>0.57436124335072281</v>
      </c>
    </row>
    <row r="25" spans="1:103" x14ac:dyDescent="0.4"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</row>
    <row r="32" spans="1:103" x14ac:dyDescent="0.4">
      <c r="A32" s="6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topLeftCell="A7" zoomScale="160" zoomScaleNormal="160" workbookViewId="0">
      <selection activeCell="B23" sqref="B23"/>
    </sheetView>
  </sheetViews>
  <sheetFormatPr defaultColWidth="9.609375" defaultRowHeight="12.3" x14ac:dyDescent="0.4"/>
  <cols>
    <col min="1" max="1" width="18.88671875" style="3" customWidth="1"/>
    <col min="2" max="5" width="9.609375" style="3"/>
    <col min="6" max="6" width="12.1640625" style="3" customWidth="1"/>
    <col min="7" max="16384" width="9.609375" style="3"/>
  </cols>
  <sheetData>
    <row r="1" spans="1:9" x14ac:dyDescent="0.4">
      <c r="A1" s="2" t="s">
        <v>107</v>
      </c>
      <c r="B1" s="2"/>
      <c r="C1" s="2"/>
      <c r="D1" s="2"/>
      <c r="E1" s="2"/>
      <c r="F1" s="2"/>
      <c r="G1" s="2"/>
      <c r="H1" s="2"/>
      <c r="I1" s="2"/>
    </row>
    <row r="2" spans="1:9" x14ac:dyDescent="0.4">
      <c r="A2" s="2" t="s">
        <v>108</v>
      </c>
      <c r="B2" s="2"/>
      <c r="C2" s="2"/>
      <c r="D2" s="2"/>
      <c r="E2" s="2"/>
      <c r="F2" s="2"/>
      <c r="G2" s="2"/>
      <c r="H2" s="2"/>
      <c r="I2" s="2"/>
    </row>
    <row r="3" spans="1:9" x14ac:dyDescent="0.4">
      <c r="A3" s="2" t="s">
        <v>94</v>
      </c>
      <c r="B3" s="2"/>
      <c r="C3" s="2"/>
      <c r="D3" s="2"/>
      <c r="E3" s="2"/>
      <c r="F3" s="2"/>
      <c r="G3" s="2"/>
      <c r="H3" s="2"/>
      <c r="I3" s="2"/>
    </row>
    <row r="4" spans="1:9" x14ac:dyDescent="0.4">
      <c r="A4" s="2" t="s">
        <v>95</v>
      </c>
      <c r="B4" s="2"/>
      <c r="C4" s="2"/>
      <c r="D4" s="2"/>
      <c r="E4" s="2"/>
      <c r="F4" s="2"/>
      <c r="G4" s="2"/>
      <c r="H4" s="2"/>
      <c r="I4" s="2"/>
    </row>
    <row r="5" spans="1:9" x14ac:dyDescent="0.4">
      <c r="A5" s="2" t="s">
        <v>96</v>
      </c>
      <c r="B5" s="2"/>
      <c r="C5" s="42"/>
      <c r="D5" s="42"/>
      <c r="E5" s="42"/>
      <c r="F5" s="53"/>
      <c r="G5" s="53"/>
      <c r="H5" s="53"/>
      <c r="I5" s="2"/>
    </row>
    <row r="6" spans="1:9" x14ac:dyDescent="0.4">
      <c r="A6" s="54" t="s">
        <v>97</v>
      </c>
      <c r="B6" s="10"/>
      <c r="C6" s="10"/>
      <c r="D6" s="18"/>
      <c r="E6" s="18"/>
      <c r="F6" s="18"/>
      <c r="G6" s="18"/>
      <c r="H6" s="18"/>
      <c r="I6" s="10"/>
    </row>
    <row r="7" spans="1:9" ht="18.75" customHeight="1" x14ac:dyDescent="0.4">
      <c r="A7" s="2"/>
      <c r="B7" s="10"/>
      <c r="C7" s="10"/>
      <c r="D7" s="10"/>
      <c r="E7" s="10"/>
      <c r="F7" s="10"/>
      <c r="G7" s="10"/>
      <c r="H7" s="10"/>
      <c r="I7" s="10"/>
    </row>
    <row r="8" spans="1:9" x14ac:dyDescent="0.4">
      <c r="B8" s="10"/>
      <c r="C8" s="10"/>
      <c r="D8" s="10"/>
      <c r="E8" s="10"/>
      <c r="F8" s="10"/>
      <c r="G8" s="10"/>
      <c r="H8" s="10"/>
      <c r="I8" s="10"/>
    </row>
    <row r="9" spans="1:9" x14ac:dyDescent="0.4">
      <c r="A9" s="2"/>
      <c r="B9" s="10"/>
      <c r="C9" s="10"/>
      <c r="D9" s="10"/>
      <c r="E9" s="10"/>
      <c r="F9" s="10"/>
      <c r="G9" s="10"/>
      <c r="H9" s="10"/>
      <c r="I9" s="10"/>
    </row>
    <row r="10" spans="1:9" x14ac:dyDescent="0.4">
      <c r="A10" s="23" t="s">
        <v>0</v>
      </c>
      <c r="B10" s="2"/>
      <c r="C10" s="2"/>
      <c r="D10" s="2"/>
      <c r="E10" s="2"/>
      <c r="F10" s="2"/>
      <c r="G10" s="2"/>
      <c r="H10" s="2"/>
      <c r="I10" s="2"/>
    </row>
    <row r="11" spans="1:9" x14ac:dyDescent="0.4">
      <c r="A11" s="23" t="s">
        <v>98</v>
      </c>
      <c r="B11" s="2"/>
      <c r="C11" s="2"/>
      <c r="D11" s="2"/>
      <c r="E11" s="2"/>
      <c r="F11" s="2"/>
      <c r="G11" s="2"/>
      <c r="H11" s="2"/>
      <c r="I11" s="2"/>
    </row>
    <row r="12" spans="1:9" x14ac:dyDescent="0.4">
      <c r="A12" s="23" t="s">
        <v>99</v>
      </c>
      <c r="B12" s="23"/>
      <c r="C12" s="2"/>
      <c r="D12" s="2"/>
      <c r="E12" s="2"/>
      <c r="F12" s="2"/>
      <c r="G12" s="2"/>
      <c r="H12" s="2"/>
      <c r="I12" s="2"/>
    </row>
    <row r="13" spans="1:9" x14ac:dyDescent="0.4">
      <c r="A13" s="23" t="s">
        <v>100</v>
      </c>
      <c r="B13" s="23">
        <v>0.03</v>
      </c>
      <c r="C13" s="2"/>
      <c r="D13" s="2"/>
      <c r="E13" s="2"/>
      <c r="F13" s="2"/>
      <c r="G13" s="2"/>
      <c r="H13" s="2"/>
      <c r="I13" s="2"/>
    </row>
    <row r="14" spans="1:9" ht="13.8" x14ac:dyDescent="0.4">
      <c r="A14" s="23" t="s">
        <v>101</v>
      </c>
      <c r="B14">
        <v>0.2</v>
      </c>
      <c r="C14"/>
      <c r="D14"/>
      <c r="E14"/>
      <c r="F14"/>
      <c r="G14"/>
      <c r="H14"/>
      <c r="I14" s="2"/>
    </row>
    <row r="15" spans="1:9" x14ac:dyDescent="0.4">
      <c r="A15" s="43" t="s">
        <v>102</v>
      </c>
      <c r="B15" s="3">
        <v>0.85</v>
      </c>
    </row>
    <row r="16" spans="1:9" x14ac:dyDescent="0.4">
      <c r="A16" s="30" t="s">
        <v>103</v>
      </c>
      <c r="B16" s="3">
        <f>B13*B15+B14*(1-B15)</f>
        <v>5.5500000000000008E-2</v>
      </c>
    </row>
    <row r="17" spans="1:9" x14ac:dyDescent="0.4">
      <c r="A17" s="30"/>
    </row>
    <row r="18" spans="1:9" x14ac:dyDescent="0.4">
      <c r="A18" s="23" t="s">
        <v>1</v>
      </c>
      <c r="B18"/>
      <c r="C18"/>
      <c r="D18"/>
      <c r="E18"/>
      <c r="F18"/>
      <c r="G18"/>
      <c r="H18"/>
      <c r="I18" s="2"/>
    </row>
    <row r="19" spans="1:9" ht="13.8" x14ac:dyDescent="0.4">
      <c r="A19" s="23" t="s">
        <v>104</v>
      </c>
      <c r="B19">
        <f>B14*(1-B15)/B16</f>
        <v>0.54054054054054057</v>
      </c>
      <c r="C19"/>
      <c r="D19"/>
      <c r="E19"/>
      <c r="F19"/>
      <c r="G19"/>
      <c r="H19"/>
      <c r="I19" s="23"/>
    </row>
    <row r="20" spans="1:9" x14ac:dyDescent="0.4">
      <c r="A20"/>
      <c r="B20"/>
      <c r="C20"/>
      <c r="D20"/>
      <c r="E20"/>
      <c r="F20"/>
      <c r="G20"/>
      <c r="H20"/>
      <c r="I20" s="2"/>
    </row>
    <row r="21" spans="1:9" x14ac:dyDescent="0.4">
      <c r="A21" s="23" t="s">
        <v>10</v>
      </c>
      <c r="B21"/>
      <c r="C21"/>
      <c r="D21"/>
      <c r="E21"/>
      <c r="F21"/>
      <c r="G21"/>
      <c r="H21"/>
      <c r="I21" s="2"/>
    </row>
    <row r="22" spans="1:9" ht="14.4" x14ac:dyDescent="0.5">
      <c r="A22" s="23" t="s">
        <v>105</v>
      </c>
      <c r="B22" s="29">
        <f>(1-B13)*B15</f>
        <v>0.82450000000000001</v>
      </c>
      <c r="C22"/>
      <c r="D22"/>
      <c r="E22"/>
      <c r="F22"/>
      <c r="G22"/>
      <c r="H22"/>
      <c r="I22" s="2"/>
    </row>
    <row r="23" spans="1:9" x14ac:dyDescent="0.4">
      <c r="A23"/>
      <c r="B23"/>
      <c r="C23"/>
      <c r="D23"/>
      <c r="E23"/>
      <c r="F23"/>
      <c r="G23"/>
      <c r="H23"/>
      <c r="I23" s="2"/>
    </row>
    <row r="24" spans="1:9" x14ac:dyDescent="0.4">
      <c r="A24" s="23" t="s">
        <v>15</v>
      </c>
      <c r="B24"/>
      <c r="C24"/>
      <c r="D24"/>
      <c r="E24"/>
      <c r="F24"/>
      <c r="G24"/>
      <c r="H24"/>
      <c r="I24" s="2"/>
    </row>
    <row r="25" spans="1:9" x14ac:dyDescent="0.4">
      <c r="A25" s="23" t="s">
        <v>106</v>
      </c>
      <c r="B25"/>
      <c r="C25"/>
      <c r="D25"/>
      <c r="E25"/>
      <c r="F25"/>
      <c r="G25"/>
      <c r="H25"/>
      <c r="I25" s="2"/>
    </row>
    <row r="26" spans="1:9" x14ac:dyDescent="0.4">
      <c r="A26"/>
      <c r="B26"/>
      <c r="C26"/>
      <c r="D26"/>
      <c r="E26"/>
      <c r="F26"/>
      <c r="G26"/>
      <c r="H26"/>
      <c r="I26" s="2"/>
    </row>
    <row r="27" spans="1:9" x14ac:dyDescent="0.4">
      <c r="A27" s="23"/>
      <c r="B27"/>
      <c r="C27"/>
      <c r="D27"/>
      <c r="E27"/>
      <c r="F27"/>
      <c r="G27"/>
      <c r="H27"/>
      <c r="I27" s="23"/>
    </row>
    <row r="28" spans="1:9" x14ac:dyDescent="0.4">
      <c r="A28"/>
      <c r="B28"/>
      <c r="C28"/>
      <c r="D28"/>
      <c r="E28"/>
      <c r="F28"/>
      <c r="G28"/>
      <c r="H28"/>
      <c r="I28" s="2"/>
    </row>
    <row r="29" spans="1:9" x14ac:dyDescent="0.4">
      <c r="A29"/>
      <c r="B29"/>
      <c r="C29"/>
      <c r="D29"/>
      <c r="E29"/>
      <c r="F29"/>
      <c r="G29"/>
      <c r="H29"/>
      <c r="I29" s="2"/>
    </row>
    <row r="30" spans="1:9" x14ac:dyDescent="0.4">
      <c r="A30"/>
      <c r="B30"/>
      <c r="C30"/>
      <c r="D30"/>
      <c r="E30"/>
      <c r="F30"/>
      <c r="G30"/>
      <c r="H30"/>
      <c r="I30" s="2"/>
    </row>
    <row r="31" spans="1:9" x14ac:dyDescent="0.4">
      <c r="A31"/>
      <c r="B31"/>
      <c r="C31"/>
      <c r="D31"/>
      <c r="E31"/>
      <c r="F31"/>
      <c r="G31"/>
      <c r="H31"/>
      <c r="I31" s="2"/>
    </row>
    <row r="32" spans="1:9" x14ac:dyDescent="0.4">
      <c r="A32"/>
      <c r="B32"/>
      <c r="C32"/>
      <c r="D32"/>
      <c r="E32"/>
      <c r="F32"/>
      <c r="G32"/>
      <c r="H32"/>
      <c r="I32" s="2"/>
    </row>
    <row r="33" spans="1:11" ht="15" x14ac:dyDescent="0.5">
      <c r="A33" s="19"/>
      <c r="J33" s="1"/>
      <c r="K33" s="1"/>
    </row>
    <row r="35" spans="1:11" ht="15" x14ac:dyDescent="0.5">
      <c r="J35" s="1"/>
      <c r="K35" s="1"/>
    </row>
    <row r="37" spans="1:11" x14ac:dyDescent="0.4">
      <c r="A37" s="43"/>
      <c r="B37" s="43"/>
      <c r="C37" s="68"/>
      <c r="D37" s="68"/>
      <c r="E37" s="68"/>
      <c r="F37" s="55"/>
      <c r="G37" s="55"/>
      <c r="H37" s="55"/>
    </row>
    <row r="38" spans="1:11" x14ac:dyDescent="0.4">
      <c r="A38" s="43"/>
      <c r="B38" s="43"/>
      <c r="C38" s="43"/>
      <c r="D38" s="43"/>
      <c r="E38" s="43"/>
      <c r="F38" s="43"/>
      <c r="G38" s="43"/>
      <c r="H38" s="43"/>
    </row>
    <row r="39" spans="1:11" ht="12.75" customHeight="1" x14ac:dyDescent="0.4">
      <c r="A39" s="69"/>
      <c r="B39" s="43"/>
      <c r="C39" s="43"/>
      <c r="D39" s="43"/>
      <c r="E39" s="43"/>
      <c r="F39" s="43"/>
      <c r="G39" s="43"/>
      <c r="H39" s="43"/>
    </row>
    <row r="40" spans="1:11" x14ac:dyDescent="0.4">
      <c r="A40" s="69"/>
      <c r="B40" s="43"/>
      <c r="C40" s="43"/>
      <c r="D40" s="43"/>
      <c r="E40" s="43"/>
      <c r="F40" s="43"/>
      <c r="G40" s="43"/>
      <c r="H40" s="43"/>
    </row>
    <row r="41" spans="1:11" x14ac:dyDescent="0.4">
      <c r="A41" s="43"/>
    </row>
    <row r="42" spans="1:11" x14ac:dyDescent="0.4">
      <c r="A42" s="43"/>
    </row>
    <row r="47" spans="1:11" x14ac:dyDescent="0.4">
      <c r="A47" s="43"/>
      <c r="B47" s="43"/>
      <c r="C47" s="68"/>
      <c r="D47" s="68"/>
      <c r="E47" s="68"/>
      <c r="F47" s="55"/>
      <c r="G47" s="55"/>
      <c r="H47" s="55"/>
    </row>
    <row r="48" spans="1:11" x14ac:dyDescent="0.4">
      <c r="A48" s="43"/>
      <c r="B48" s="43"/>
      <c r="C48" s="43"/>
      <c r="D48" s="43"/>
      <c r="E48" s="43"/>
      <c r="F48" s="43"/>
      <c r="G48" s="43"/>
      <c r="H48" s="43"/>
    </row>
    <row r="49" spans="1:8" ht="12.75" customHeight="1" x14ac:dyDescent="0.4">
      <c r="A49" s="69"/>
      <c r="B49" s="43"/>
      <c r="C49" s="43"/>
      <c r="D49" s="43"/>
      <c r="E49" s="43"/>
      <c r="F49" s="43"/>
      <c r="G49" s="43"/>
      <c r="H49" s="43"/>
    </row>
    <row r="50" spans="1:8" x14ac:dyDescent="0.4">
      <c r="A50" s="69"/>
      <c r="B50" s="43"/>
      <c r="C50" s="43"/>
      <c r="D50" s="43"/>
      <c r="E50" s="43"/>
      <c r="F50" s="43"/>
      <c r="G50" s="43"/>
      <c r="H50" s="43"/>
    </row>
    <row r="51" spans="1:8" x14ac:dyDescent="0.4">
      <c r="A51" s="43"/>
    </row>
  </sheetData>
  <mergeCells count="4">
    <mergeCell ref="C37:E37"/>
    <mergeCell ref="A39:A40"/>
    <mergeCell ref="C47:E47"/>
    <mergeCell ref="A49:A5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S50"/>
  <sheetViews>
    <sheetView topLeftCell="A20" zoomScale="150" zoomScaleNormal="150" workbookViewId="0">
      <selection activeCell="A38" sqref="A38"/>
    </sheetView>
  </sheetViews>
  <sheetFormatPr defaultRowHeight="12.3" x14ac:dyDescent="0.4"/>
  <cols>
    <col min="2" max="2" width="10.5546875" bestFit="1" customWidth="1"/>
    <col min="3" max="3" width="12.44140625" bestFit="1" customWidth="1"/>
  </cols>
  <sheetData>
    <row r="1" spans="1:2" x14ac:dyDescent="0.4">
      <c r="A1" s="28" t="s">
        <v>109</v>
      </c>
    </row>
    <row r="2" spans="1:2" x14ac:dyDescent="0.4">
      <c r="A2" s="28" t="s">
        <v>42</v>
      </c>
    </row>
    <row r="3" spans="1:2" x14ac:dyDescent="0.4">
      <c r="A3" s="2" t="s">
        <v>111</v>
      </c>
    </row>
    <row r="4" spans="1:2" x14ac:dyDescent="0.4">
      <c r="A4" s="2" t="s">
        <v>110</v>
      </c>
    </row>
    <row r="5" spans="1:2" x14ac:dyDescent="0.4">
      <c r="A5" s="2" t="s">
        <v>43</v>
      </c>
    </row>
    <row r="6" spans="1:2" x14ac:dyDescent="0.4">
      <c r="A6" s="2" t="s">
        <v>44</v>
      </c>
    </row>
    <row r="7" spans="1:2" x14ac:dyDescent="0.4">
      <c r="A7" s="2" t="s">
        <v>112</v>
      </c>
    </row>
    <row r="8" spans="1:2" x14ac:dyDescent="0.4">
      <c r="A8" s="2" t="s">
        <v>46</v>
      </c>
    </row>
    <row r="9" spans="1:2" x14ac:dyDescent="0.4">
      <c r="A9" s="2" t="s">
        <v>113</v>
      </c>
    </row>
    <row r="10" spans="1:2" x14ac:dyDescent="0.4">
      <c r="A10" s="2"/>
    </row>
    <row r="11" spans="1:2" x14ac:dyDescent="0.4">
      <c r="A11" s="30" t="s">
        <v>11</v>
      </c>
      <c r="B11" s="8">
        <v>2798</v>
      </c>
    </row>
    <row r="13" spans="1:2" x14ac:dyDescent="0.4">
      <c r="A13" s="24" t="s">
        <v>14</v>
      </c>
      <c r="B13" s="25">
        <f>349/B11</f>
        <v>0.12473195139385275</v>
      </c>
    </row>
    <row r="15" spans="1:2" x14ac:dyDescent="0.4">
      <c r="A15" t="s">
        <v>0</v>
      </c>
    </row>
    <row r="16" spans="1:2" x14ac:dyDescent="0.4">
      <c r="A16" s="6" t="s">
        <v>12</v>
      </c>
      <c r="B16">
        <v>0.05</v>
      </c>
    </row>
    <row r="17" spans="1:201" ht="14.7" x14ac:dyDescent="0.6">
      <c r="A17" s="23" t="s">
        <v>32</v>
      </c>
      <c r="B17" s="29">
        <f>NORMSINV(1-B16)</f>
        <v>1.6448536269514715</v>
      </c>
    </row>
    <row r="18" spans="1:201" x14ac:dyDescent="0.4">
      <c r="A18" s="30" t="s">
        <v>33</v>
      </c>
      <c r="B18" s="8"/>
      <c r="C18">
        <f>(B13-0.15)/SQRT(0.15*(1-0.15)/B11)</f>
        <v>-3.7431778849094752</v>
      </c>
    </row>
    <row r="19" spans="1:201" x14ac:dyDescent="0.4">
      <c r="A19" s="30"/>
      <c r="B19" s="8"/>
    </row>
    <row r="20" spans="1:201" x14ac:dyDescent="0.4">
      <c r="A20" s="30" t="s">
        <v>45</v>
      </c>
    </row>
    <row r="21" spans="1:201" x14ac:dyDescent="0.4">
      <c r="A21" s="30"/>
    </row>
    <row r="22" spans="1:201" x14ac:dyDescent="0.4">
      <c r="A22" s="30" t="s">
        <v>1</v>
      </c>
      <c r="B22" s="16"/>
    </row>
    <row r="23" spans="1:201" x14ac:dyDescent="0.4">
      <c r="A23" s="30" t="s">
        <v>14</v>
      </c>
      <c r="B23" s="25">
        <f>B13</f>
        <v>0.12473195139385275</v>
      </c>
    </row>
    <row r="24" spans="1:201" x14ac:dyDescent="0.4">
      <c r="A24" s="6" t="s">
        <v>29</v>
      </c>
      <c r="B24">
        <v>0.99</v>
      </c>
    </row>
    <row r="25" spans="1:201" ht="14.7" x14ac:dyDescent="0.6">
      <c r="A25" s="23" t="s">
        <v>36</v>
      </c>
      <c r="B25" s="29">
        <f>NORMSINV(B24+(1-B24)/2)</f>
        <v>2.5758293035488999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</row>
    <row r="26" spans="1:201" x14ac:dyDescent="0.4">
      <c r="A26" s="23"/>
      <c r="B26" s="16"/>
    </row>
    <row r="27" spans="1:201" x14ac:dyDescent="0.4">
      <c r="A27" s="23" t="s">
        <v>37</v>
      </c>
      <c r="F27">
        <f>B23-B25*SQRT(B23*(1-B23)/B11)</f>
        <v>0.10864207823704522</v>
      </c>
    </row>
    <row r="28" spans="1:201" x14ac:dyDescent="0.4">
      <c r="A28" s="23" t="s">
        <v>38</v>
      </c>
      <c r="F28">
        <f>B23+B25*SQRT(B23*(1-B23)/B11)</f>
        <v>0.14082182455066028</v>
      </c>
    </row>
    <row r="29" spans="1:201" x14ac:dyDescent="0.4">
      <c r="A29" s="30"/>
    </row>
    <row r="30" spans="1:201" x14ac:dyDescent="0.4">
      <c r="A30" s="30" t="s">
        <v>39</v>
      </c>
      <c r="C30">
        <f>F28-F27</f>
        <v>3.217974631361506E-2</v>
      </c>
    </row>
    <row r="31" spans="1:201" x14ac:dyDescent="0.4">
      <c r="A31" s="30" t="s">
        <v>10</v>
      </c>
    </row>
    <row r="32" spans="1:201" x14ac:dyDescent="0.4">
      <c r="A32" s="30" t="s">
        <v>40</v>
      </c>
      <c r="B32">
        <f>4*B25^2*B23*(1-B23)/0.02^2</f>
        <v>7243.5748292963135</v>
      </c>
    </row>
    <row r="33" spans="1:2" x14ac:dyDescent="0.4">
      <c r="A33" s="30" t="s">
        <v>41</v>
      </c>
    </row>
    <row r="34" spans="1:2" x14ac:dyDescent="0.4">
      <c r="A34" s="30" t="s">
        <v>40</v>
      </c>
      <c r="B34">
        <f>4*B25^2*0.5^2/0.02^2</f>
        <v>16587.241502553028</v>
      </c>
    </row>
    <row r="36" spans="1:2" x14ac:dyDescent="0.4">
      <c r="A36" t="s">
        <v>15</v>
      </c>
    </row>
    <row r="37" spans="1:2" x14ac:dyDescent="0.4">
      <c r="A37" s="23" t="s">
        <v>114</v>
      </c>
    </row>
    <row r="50" spans="1:1" x14ac:dyDescent="0.4">
      <c r="A50" s="26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topLeftCell="A25" zoomScale="150" zoomScaleNormal="150" workbookViewId="0">
      <selection activeCell="B36" sqref="B36"/>
    </sheetView>
  </sheetViews>
  <sheetFormatPr defaultRowHeight="12.3" x14ac:dyDescent="0.4"/>
  <sheetData>
    <row r="1" spans="1:11" x14ac:dyDescent="0.4">
      <c r="A1" s="2" t="s">
        <v>124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x14ac:dyDescent="0.4">
      <c r="A2" s="2" t="s">
        <v>125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x14ac:dyDescent="0.4">
      <c r="A3" s="2" t="s">
        <v>126</v>
      </c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x14ac:dyDescent="0.4">
      <c r="A4" s="2" t="s">
        <v>115</v>
      </c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x14ac:dyDescent="0.4">
      <c r="A5" s="2" t="s">
        <v>127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x14ac:dyDescent="0.4">
      <c r="A6" s="2" t="s">
        <v>128</v>
      </c>
      <c r="B6" s="18"/>
      <c r="C6" s="18"/>
      <c r="D6" s="18"/>
      <c r="E6" s="3"/>
      <c r="F6" s="3"/>
      <c r="G6" s="3"/>
      <c r="H6" s="3"/>
      <c r="I6" s="3"/>
      <c r="J6" s="3"/>
      <c r="K6" s="3"/>
    </row>
    <row r="7" spans="1:11" x14ac:dyDescent="0.4">
      <c r="A7" s="56"/>
      <c r="B7" s="10"/>
      <c r="C7" s="10"/>
      <c r="D7" s="10"/>
      <c r="E7" s="57"/>
      <c r="F7" s="58"/>
      <c r="G7" s="58"/>
      <c r="H7" s="58"/>
      <c r="I7" s="58"/>
      <c r="J7" s="58"/>
      <c r="K7" s="59"/>
    </row>
    <row r="8" spans="1:11" x14ac:dyDescent="0.4">
      <c r="A8" s="17" t="s">
        <v>16</v>
      </c>
      <c r="B8">
        <v>1.2</v>
      </c>
      <c r="C8" s="60"/>
      <c r="D8" s="3"/>
      <c r="E8" s="57"/>
      <c r="F8" s="58"/>
      <c r="G8" s="58"/>
      <c r="H8" s="58"/>
      <c r="I8" s="59"/>
      <c r="J8" s="59"/>
      <c r="K8" s="59"/>
    </row>
    <row r="9" spans="1:11" ht="15" x14ac:dyDescent="0.5">
      <c r="A9" s="17" t="s">
        <v>11</v>
      </c>
      <c r="B9">
        <v>120</v>
      </c>
      <c r="D9" s="43"/>
      <c r="E9" s="47"/>
      <c r="F9" s="3"/>
      <c r="G9" s="3"/>
      <c r="H9" s="3"/>
      <c r="I9" s="3"/>
      <c r="J9" s="3"/>
      <c r="K9" s="3"/>
    </row>
    <row r="10" spans="1:11" x14ac:dyDescent="0.4">
      <c r="A10" s="17" t="s">
        <v>13</v>
      </c>
      <c r="B10">
        <v>32.6</v>
      </c>
      <c r="D10" s="43"/>
      <c r="E10" s="3"/>
      <c r="F10" s="3"/>
      <c r="G10" s="3"/>
      <c r="H10" s="3"/>
      <c r="I10" s="3"/>
      <c r="J10" s="3"/>
      <c r="K10" s="3"/>
    </row>
    <row r="11" spans="1:11" x14ac:dyDescent="0.4">
      <c r="A11" s="23" t="s">
        <v>0</v>
      </c>
      <c r="D11" s="43"/>
      <c r="E11" s="45"/>
      <c r="F11" s="45"/>
      <c r="G11" s="3"/>
      <c r="H11" s="3"/>
      <c r="I11" s="3"/>
      <c r="J11" s="3"/>
      <c r="K11" s="3"/>
    </row>
    <row r="12" spans="1:11" ht="14.7" x14ac:dyDescent="0.6">
      <c r="A12" s="23" t="s">
        <v>27</v>
      </c>
      <c r="B12">
        <v>33</v>
      </c>
      <c r="D12" s="43"/>
      <c r="E12" s="45"/>
      <c r="F12" s="45"/>
      <c r="G12" s="3"/>
      <c r="H12" s="3"/>
      <c r="I12" s="3"/>
      <c r="J12" s="3"/>
      <c r="K12" s="3"/>
    </row>
    <row r="13" spans="1:11" ht="14.7" x14ac:dyDescent="0.6">
      <c r="A13" s="23" t="s">
        <v>28</v>
      </c>
      <c r="B13">
        <v>33</v>
      </c>
      <c r="D13" s="43"/>
      <c r="E13" s="45"/>
      <c r="F13" s="45"/>
      <c r="G13" s="3"/>
      <c r="H13" s="3"/>
      <c r="I13" s="3"/>
      <c r="J13" s="3"/>
      <c r="K13" s="3"/>
    </row>
    <row r="14" spans="1:11" x14ac:dyDescent="0.4">
      <c r="D14" s="43"/>
      <c r="E14" s="45"/>
      <c r="F14" s="45"/>
      <c r="G14" s="3"/>
      <c r="H14" s="3"/>
      <c r="I14" s="3"/>
      <c r="J14" s="3"/>
      <c r="K14" s="3"/>
    </row>
    <row r="15" spans="1:11" x14ac:dyDescent="0.4">
      <c r="A15" s="6" t="s">
        <v>12</v>
      </c>
      <c r="B15">
        <v>0.05</v>
      </c>
      <c r="D15" s="43"/>
      <c r="E15" s="45"/>
      <c r="F15" s="45"/>
      <c r="G15" s="3"/>
      <c r="H15" s="3"/>
      <c r="I15" s="3"/>
      <c r="J15" s="3"/>
      <c r="K15" s="3"/>
    </row>
    <row r="16" spans="1:11" ht="14.7" x14ac:dyDescent="0.6">
      <c r="A16" s="40" t="s">
        <v>116</v>
      </c>
      <c r="B16">
        <f>_xlfn.NORM.S.INV(B15)</f>
        <v>-1.6448536269514726</v>
      </c>
      <c r="D16" s="43"/>
      <c r="E16" s="45"/>
      <c r="F16" s="45"/>
      <c r="G16" s="3"/>
      <c r="H16" s="3"/>
      <c r="I16" s="3"/>
      <c r="J16" s="3"/>
      <c r="K16" s="3"/>
    </row>
    <row r="17" spans="1:11" x14ac:dyDescent="0.4">
      <c r="D17" s="43"/>
      <c r="E17" s="3"/>
      <c r="F17" s="3"/>
      <c r="G17" s="3"/>
      <c r="H17" s="3"/>
      <c r="I17" s="3"/>
      <c r="J17" s="3"/>
      <c r="K17" s="3"/>
    </row>
    <row r="18" spans="1:11" x14ac:dyDescent="0.4">
      <c r="A18" t="s">
        <v>13</v>
      </c>
      <c r="B18">
        <f>B10</f>
        <v>32.6</v>
      </c>
      <c r="D18" s="43"/>
      <c r="E18" s="3"/>
      <c r="F18" s="3"/>
      <c r="G18" s="3"/>
      <c r="H18" s="3"/>
      <c r="I18" s="3"/>
      <c r="J18" s="3"/>
      <c r="K18" s="3"/>
    </row>
    <row r="19" spans="1:11" x14ac:dyDescent="0.4">
      <c r="A19" s="23" t="s">
        <v>117</v>
      </c>
      <c r="B19" s="29">
        <f>(B18-B12)/SQRT(B8^2/B9)</f>
        <v>-3.6514837167010943</v>
      </c>
      <c r="D19" s="43"/>
      <c r="E19" s="3"/>
      <c r="F19" s="3"/>
      <c r="G19" s="3"/>
      <c r="H19" s="3"/>
      <c r="I19" s="3"/>
      <c r="J19" s="3"/>
      <c r="K19" s="3"/>
    </row>
    <row r="20" spans="1:11" x14ac:dyDescent="0.4">
      <c r="D20" s="43"/>
      <c r="E20" s="3"/>
      <c r="F20" s="3"/>
      <c r="G20" s="3"/>
      <c r="H20" s="3"/>
      <c r="I20" s="3"/>
      <c r="J20" s="3"/>
      <c r="K20" s="3"/>
    </row>
    <row r="21" spans="1:11" x14ac:dyDescent="0.4">
      <c r="A21" t="s">
        <v>118</v>
      </c>
      <c r="D21" s="43"/>
      <c r="E21" s="3"/>
      <c r="F21" s="3"/>
      <c r="G21" s="3"/>
      <c r="H21" s="3"/>
      <c r="I21" s="3"/>
      <c r="J21" s="3"/>
      <c r="K21" s="3"/>
    </row>
    <row r="22" spans="1:11" x14ac:dyDescent="0.4">
      <c r="D22" s="3"/>
      <c r="E22" s="3"/>
      <c r="F22" s="3"/>
      <c r="G22" s="3"/>
      <c r="H22" s="3"/>
      <c r="I22" s="3"/>
      <c r="J22" s="3"/>
      <c r="K22" s="3"/>
    </row>
    <row r="23" spans="1:11" x14ac:dyDescent="0.4">
      <c r="A23" t="s">
        <v>1</v>
      </c>
      <c r="D23" s="43"/>
      <c r="E23" s="3"/>
      <c r="F23" s="3"/>
      <c r="G23" s="3"/>
      <c r="H23" s="3"/>
      <c r="I23" s="3"/>
      <c r="J23" s="3"/>
      <c r="K23" s="3"/>
    </row>
    <row r="24" spans="1:11" x14ac:dyDescent="0.4">
      <c r="A24" s="23" t="s">
        <v>119</v>
      </c>
      <c r="D24" s="43"/>
      <c r="E24" s="3"/>
      <c r="F24" s="3"/>
      <c r="G24" s="3"/>
      <c r="H24" s="3"/>
      <c r="I24" s="3"/>
      <c r="J24" s="3"/>
      <c r="K24" s="3"/>
    </row>
    <row r="25" spans="1:11" x14ac:dyDescent="0.4">
      <c r="A25" s="23" t="s">
        <v>120</v>
      </c>
      <c r="D25" s="43"/>
      <c r="E25" s="3"/>
      <c r="F25" s="3"/>
      <c r="G25" s="3"/>
      <c r="H25" s="3"/>
      <c r="I25" s="3"/>
      <c r="J25" s="3"/>
      <c r="K25" s="3"/>
    </row>
    <row r="26" spans="1:11" x14ac:dyDescent="0.4">
      <c r="D26" s="61"/>
      <c r="E26" s="3"/>
      <c r="F26" s="3"/>
      <c r="G26" s="3"/>
      <c r="H26" s="3"/>
      <c r="I26" s="3"/>
      <c r="J26" s="3"/>
      <c r="K26" s="3"/>
    </row>
    <row r="27" spans="1:11" x14ac:dyDescent="0.4">
      <c r="A27" t="s">
        <v>10</v>
      </c>
      <c r="D27" s="43"/>
      <c r="E27" s="3"/>
      <c r="F27" s="3"/>
      <c r="G27" s="3"/>
      <c r="H27" s="3"/>
      <c r="I27" s="3"/>
      <c r="J27" s="3"/>
      <c r="K27" s="3"/>
    </row>
    <row r="28" spans="1:11" x14ac:dyDescent="0.4">
      <c r="A28" s="6" t="s">
        <v>29</v>
      </c>
      <c r="B28">
        <v>0.99</v>
      </c>
      <c r="D28" s="3"/>
      <c r="E28" s="3"/>
      <c r="F28" s="3"/>
      <c r="G28" s="3"/>
      <c r="H28" s="3"/>
      <c r="I28" s="3"/>
      <c r="J28" s="3"/>
      <c r="K28" s="3"/>
    </row>
    <row r="29" spans="1:11" ht="14.7" x14ac:dyDescent="0.6">
      <c r="A29" s="62" t="s">
        <v>121</v>
      </c>
      <c r="B29">
        <f>_xlfn.NORM.S.INV(B28+(1-B28)/2)</f>
        <v>2.5758293035488999</v>
      </c>
      <c r="D29" s="3"/>
      <c r="E29" s="63"/>
      <c r="F29" s="23"/>
      <c r="G29" s="63"/>
      <c r="H29" s="3"/>
      <c r="I29" s="3"/>
      <c r="J29" s="3"/>
      <c r="K29" s="3"/>
    </row>
    <row r="30" spans="1:11" x14ac:dyDescent="0.4">
      <c r="A30" s="6"/>
      <c r="D30" s="3"/>
      <c r="E30" s="63"/>
      <c r="F30" s="23"/>
      <c r="G30" s="63"/>
      <c r="H30" s="3"/>
      <c r="I30" s="3"/>
      <c r="J30" s="3"/>
      <c r="K30" s="3"/>
    </row>
    <row r="31" spans="1:11" x14ac:dyDescent="0.4">
      <c r="A31" t="s">
        <v>30</v>
      </c>
      <c r="C31">
        <f>B18-B29*SQRT(B8^2/B9)</f>
        <v>32.317832037232691</v>
      </c>
      <c r="D31" s="23"/>
      <c r="E31" s="40"/>
      <c r="F31" s="40"/>
      <c r="G31" s="40"/>
      <c r="H31" s="40"/>
      <c r="I31" s="40"/>
      <c r="J31" s="40"/>
      <c r="K31" s="40"/>
    </row>
    <row r="32" spans="1:11" x14ac:dyDescent="0.4">
      <c r="A32" t="s">
        <v>31</v>
      </c>
      <c r="C32">
        <f>B18+B29*SQRT(B8^2/B9)</f>
        <v>32.882167962767312</v>
      </c>
      <c r="D32" s="40"/>
      <c r="E32" s="40"/>
      <c r="F32" s="40"/>
      <c r="G32" s="40"/>
      <c r="H32" s="40"/>
      <c r="I32" s="40"/>
      <c r="J32" s="40"/>
      <c r="K32" s="40"/>
    </row>
    <row r="33" spans="1:11" x14ac:dyDescent="0.4">
      <c r="D33" s="40"/>
      <c r="E33" s="40"/>
      <c r="F33" s="40"/>
      <c r="G33" s="40"/>
      <c r="H33" s="40"/>
      <c r="I33" s="40"/>
      <c r="J33" s="40"/>
      <c r="K33" s="40"/>
    </row>
    <row r="34" spans="1:11" x14ac:dyDescent="0.4">
      <c r="A34" t="s">
        <v>15</v>
      </c>
      <c r="D34" s="40"/>
      <c r="E34" s="40"/>
      <c r="F34" s="40"/>
      <c r="G34" s="40"/>
      <c r="H34" s="40"/>
      <c r="I34" s="40"/>
      <c r="J34" s="40"/>
      <c r="K34" s="40"/>
    </row>
    <row r="35" spans="1:11" x14ac:dyDescent="0.4">
      <c r="A35" s="6" t="s">
        <v>29</v>
      </c>
      <c r="B35">
        <v>0.95</v>
      </c>
    </row>
    <row r="36" spans="1:11" ht="14.7" x14ac:dyDescent="0.6">
      <c r="A36" s="62" t="s">
        <v>122</v>
      </c>
      <c r="B36">
        <f>_xlfn.CHISQ.INV(B35+(1-B35)/2,B9-1)</f>
        <v>151.08441934081313</v>
      </c>
    </row>
    <row r="37" spans="1:11" ht="14.7" x14ac:dyDescent="0.6">
      <c r="A37" s="62" t="s">
        <v>123</v>
      </c>
      <c r="B37">
        <f>_xlfn.CHISQ.INV((1-B35)/2,B9-1)</f>
        <v>90.699586674337652</v>
      </c>
    </row>
    <row r="38" spans="1:11" x14ac:dyDescent="0.4">
      <c r="A38" t="s">
        <v>30</v>
      </c>
      <c r="C38">
        <f>B8^2*(B9-1)/B36</f>
        <v>1.1342003414226958</v>
      </c>
    </row>
    <row r="39" spans="1:11" x14ac:dyDescent="0.4">
      <c r="A39" t="s">
        <v>31</v>
      </c>
      <c r="C39">
        <f>B8^2*(B9-1)/B37</f>
        <v>1.8893140121495637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cp:lastPrinted>2010-12-01T13:54:57Z</cp:lastPrinted>
  <dcterms:created xsi:type="dcterms:W3CDTF">2010-11-23T22:03:56Z</dcterms:created>
  <dcterms:modified xsi:type="dcterms:W3CDTF">2024-09-12T14:36:59Z</dcterms:modified>
</cp:coreProperties>
</file>